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pin/Documents/Projet/Exp_RB/Doc_RB/"/>
    </mc:Choice>
  </mc:AlternateContent>
  <xr:revisionPtr revIDLastSave="0" documentId="13_ncr:1_{A556684A-623A-FE45-A2C3-2BD0960BFFD6}" xr6:coauthVersionLast="47" xr6:coauthVersionMax="47" xr10:uidLastSave="{00000000-0000-0000-0000-000000000000}"/>
  <bookViews>
    <workbookView xWindow="0" yWindow="0" windowWidth="76800" windowHeight="43200" tabRatio="500" xr2:uid="{00000000-000D-0000-FFFF-FFFF00000000}"/>
  </bookViews>
  <sheets>
    <sheet name="experience" sheetId="2" r:id="rId1"/>
    <sheet name="Planning RB" sheetId="9" r:id="rId2"/>
    <sheet name="Planning KP" sheetId="1" r:id="rId3"/>
    <sheet name="Calib_temp" sheetId="3" r:id="rId4"/>
    <sheet name="Calib_Sel" sheetId="10" r:id="rId5"/>
    <sheet name="STRAT n°1" sheetId="4" r:id="rId6"/>
    <sheet name="STRAT n°2" sheetId="5" r:id="rId7"/>
    <sheet name="STRAT n°3" sheetId="6" r:id="rId8"/>
    <sheet name="STRAT n°4" sheetId="7" r:id="rId9"/>
    <sheet name="Feuil1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2" l="1"/>
  <c r="L57" i="2"/>
  <c r="I57" i="2"/>
  <c r="L56" i="2"/>
  <c r="I56" i="2"/>
  <c r="F111" i="3"/>
  <c r="L55" i="2"/>
  <c r="I55" i="2"/>
  <c r="L54" i="2"/>
  <c r="I54" i="2"/>
  <c r="L53" i="2" l="1"/>
  <c r="I53" i="2"/>
  <c r="L52" i="2"/>
  <c r="I52" i="2"/>
  <c r="L51" i="2"/>
  <c r="I51" i="2"/>
  <c r="L50" i="2" l="1"/>
  <c r="I50" i="2"/>
  <c r="L49" i="2"/>
  <c r="I49" i="2"/>
  <c r="L48" i="2"/>
  <c r="I48" i="2"/>
  <c r="L47" i="2"/>
  <c r="I47" i="2"/>
  <c r="L46" i="2" l="1"/>
  <c r="L45" i="2"/>
  <c r="I45" i="2"/>
  <c r="L44" i="2"/>
  <c r="I44" i="2"/>
  <c r="L43" i="2"/>
  <c r="I43" i="2"/>
  <c r="I42" i="2"/>
  <c r="L42" i="2"/>
  <c r="L41" i="2"/>
  <c r="I41" i="2"/>
  <c r="I40" i="2"/>
  <c r="L40" i="2"/>
  <c r="L39" i="2"/>
  <c r="I39" i="2"/>
  <c r="Y37" i="2"/>
  <c r="Y36" i="2"/>
  <c r="L38" i="2"/>
  <c r="I38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35" i="2"/>
  <c r="L37" i="2"/>
  <c r="L36" i="2"/>
  <c r="L34" i="2"/>
  <c r="F110" i="3" l="1"/>
  <c r="H8" i="1"/>
  <c r="L33" i="2"/>
  <c r="L32" i="2"/>
  <c r="L31" i="2"/>
  <c r="L30" i="2"/>
  <c r="L29" i="2"/>
  <c r="L28" i="2"/>
  <c r="L27" i="2"/>
  <c r="L25" i="2"/>
  <c r="L26" i="2"/>
  <c r="L48" i="9"/>
  <c r="L47" i="9"/>
  <c r="L46" i="9"/>
  <c r="L45" i="9"/>
  <c r="L44" i="9"/>
  <c r="L43" i="9"/>
  <c r="I43" i="9"/>
  <c r="L42" i="9"/>
  <c r="I42" i="9"/>
  <c r="L41" i="9"/>
  <c r="I41" i="9"/>
  <c r="L40" i="9"/>
  <c r="L39" i="9"/>
  <c r="L38" i="9"/>
  <c r="I38" i="9"/>
  <c r="L37" i="9"/>
  <c r="I37" i="9"/>
  <c r="L36" i="9"/>
  <c r="I36" i="9"/>
  <c r="L35" i="9"/>
  <c r="L34" i="9"/>
  <c r="L33" i="9"/>
  <c r="I33" i="9"/>
  <c r="L32" i="9"/>
  <c r="I32" i="9"/>
  <c r="L31" i="9"/>
  <c r="I31" i="9"/>
  <c r="L30" i="9"/>
  <c r="L29" i="9"/>
  <c r="L28" i="9"/>
  <c r="I28" i="9"/>
  <c r="L27" i="9"/>
  <c r="I27" i="9"/>
  <c r="L26" i="9"/>
  <c r="I26" i="9"/>
  <c r="L25" i="9"/>
  <c r="I25" i="9"/>
  <c r="L24" i="9"/>
  <c r="L23" i="9"/>
  <c r="L22" i="9"/>
  <c r="I22" i="9"/>
  <c r="L21" i="9"/>
  <c r="I21" i="9"/>
  <c r="L20" i="9"/>
  <c r="I20" i="9"/>
  <c r="L19" i="9"/>
  <c r="I19" i="9"/>
  <c r="L18" i="9"/>
  <c r="L17" i="9"/>
  <c r="L16" i="9"/>
  <c r="I16" i="9"/>
  <c r="L15" i="9"/>
  <c r="I15" i="9"/>
  <c r="L14" i="9"/>
  <c r="I14" i="9"/>
  <c r="L13" i="9"/>
  <c r="L12" i="9"/>
  <c r="L11" i="9"/>
  <c r="I11" i="9"/>
  <c r="L10" i="9"/>
  <c r="I10" i="9"/>
  <c r="L9" i="9"/>
  <c r="I9" i="9"/>
  <c r="L8" i="9"/>
  <c r="I8" i="9"/>
  <c r="L24" i="2"/>
  <c r="B75" i="8"/>
  <c r="C75" i="8" s="1"/>
  <c r="C74" i="8"/>
  <c r="B74" i="8"/>
  <c r="B73" i="8"/>
  <c r="C73" i="8" s="1"/>
  <c r="B72" i="8"/>
  <c r="C72" i="8" s="1"/>
  <c r="B71" i="8"/>
  <c r="C71" i="8" s="1"/>
  <c r="C70" i="8"/>
  <c r="B70" i="8"/>
  <c r="B69" i="8"/>
  <c r="C69" i="8" s="1"/>
  <c r="B68" i="8"/>
  <c r="C68" i="8" s="1"/>
  <c r="B67" i="8"/>
  <c r="C67" i="8" s="1"/>
  <c r="C66" i="8"/>
  <c r="B66" i="8"/>
  <c r="B65" i="8"/>
  <c r="C65" i="8" s="1"/>
  <c r="B64" i="8"/>
  <c r="C64" i="8" s="1"/>
  <c r="B63" i="8"/>
  <c r="C63" i="8" s="1"/>
  <c r="C62" i="8"/>
  <c r="B62" i="8"/>
  <c r="B61" i="8"/>
  <c r="C61" i="8" s="1"/>
  <c r="B60" i="8"/>
  <c r="C60" i="8" s="1"/>
  <c r="B59" i="8"/>
  <c r="C59" i="8" s="1"/>
  <c r="C58" i="8"/>
  <c r="B58" i="8"/>
  <c r="B57" i="8"/>
  <c r="C57" i="8" s="1"/>
  <c r="B56" i="8"/>
  <c r="C56" i="8" s="1"/>
  <c r="B55" i="8"/>
  <c r="C55" i="8" s="1"/>
  <c r="C54" i="8"/>
  <c r="B54" i="8"/>
  <c r="B53" i="8"/>
  <c r="C53" i="8" s="1"/>
  <c r="B52" i="8"/>
  <c r="C52" i="8" s="1"/>
  <c r="B51" i="8"/>
  <c r="C51" i="8" s="1"/>
  <c r="C50" i="8"/>
  <c r="B50" i="8"/>
  <c r="B49" i="8"/>
  <c r="C49" i="8" s="1"/>
  <c r="B48" i="8"/>
  <c r="C48" i="8" s="1"/>
  <c r="B47" i="8"/>
  <c r="C47" i="8" s="1"/>
  <c r="C46" i="8"/>
  <c r="B46" i="8"/>
  <c r="B45" i="8"/>
  <c r="C45" i="8" s="1"/>
  <c r="B44" i="8"/>
  <c r="C44" i="8" s="1"/>
  <c r="B43" i="8"/>
  <c r="C43" i="8" s="1"/>
  <c r="C42" i="8"/>
  <c r="B42" i="8"/>
  <c r="B41" i="8"/>
  <c r="C41" i="8" s="1"/>
  <c r="B40" i="8"/>
  <c r="C40" i="8" s="1"/>
  <c r="B39" i="8"/>
  <c r="C39" i="8" s="1"/>
  <c r="C38" i="8"/>
  <c r="B38" i="8"/>
  <c r="B37" i="8"/>
  <c r="C37" i="8" s="1"/>
  <c r="B36" i="8"/>
  <c r="C36" i="8" s="1"/>
  <c r="B35" i="8"/>
  <c r="C35" i="8" s="1"/>
  <c r="C34" i="8"/>
  <c r="B34" i="8"/>
  <c r="B33" i="8"/>
  <c r="C33" i="8" s="1"/>
  <c r="B32" i="8"/>
  <c r="C32" i="8" s="1"/>
  <c r="B31" i="8"/>
  <c r="C31" i="8" s="1"/>
  <c r="C30" i="8"/>
  <c r="B30" i="8"/>
  <c r="B29" i="8"/>
  <c r="C29" i="8" s="1"/>
  <c r="B28" i="8"/>
  <c r="C28" i="8" s="1"/>
  <c r="B27" i="8"/>
  <c r="C27" i="8" s="1"/>
  <c r="C26" i="8"/>
  <c r="B26" i="8"/>
  <c r="B25" i="8"/>
  <c r="C25" i="8" s="1"/>
  <c r="B24" i="8"/>
  <c r="C24" i="8" s="1"/>
  <c r="B23" i="8"/>
  <c r="C23" i="8" s="1"/>
  <c r="C22" i="8"/>
  <c r="B22" i="8"/>
  <c r="B21" i="8"/>
  <c r="C21" i="8" s="1"/>
  <c r="B20" i="8"/>
  <c r="C20" i="8" s="1"/>
  <c r="B19" i="8"/>
  <c r="C19" i="8" s="1"/>
  <c r="C18" i="8"/>
  <c r="B18" i="8"/>
  <c r="B17" i="8"/>
  <c r="C17" i="8" s="1"/>
  <c r="B16" i="8"/>
  <c r="C16" i="8" s="1"/>
  <c r="B15" i="8"/>
  <c r="C15" i="8" s="1"/>
  <c r="C14" i="8"/>
  <c r="B14" i="8"/>
  <c r="B13" i="8"/>
  <c r="C13" i="8" s="1"/>
  <c r="B12" i="8"/>
  <c r="C12" i="8" s="1"/>
  <c r="B11" i="8"/>
  <c r="C11" i="8" s="1"/>
  <c r="C10" i="8"/>
  <c r="B10" i="8"/>
  <c r="B9" i="8"/>
  <c r="C9" i="8" s="1"/>
  <c r="B8" i="8"/>
  <c r="C8" i="8" s="1"/>
  <c r="B7" i="8"/>
  <c r="C7" i="8" s="1"/>
  <c r="C6" i="8"/>
  <c r="B6" i="8"/>
  <c r="B5" i="8"/>
  <c r="C5" i="8" s="1"/>
  <c r="B4" i="8"/>
  <c r="C4" i="8" s="1"/>
  <c r="B3" i="8"/>
  <c r="C3" i="8" s="1"/>
  <c r="C2" i="8"/>
  <c r="B2" i="8"/>
  <c r="C19" i="5"/>
  <c r="V53" i="1"/>
  <c r="Q53" i="1"/>
  <c r="AB53" i="1" s="1"/>
  <c r="M53" i="1"/>
  <c r="K53" i="1"/>
  <c r="G53" i="1"/>
  <c r="X51" i="1"/>
  <c r="Y51" i="1" s="1"/>
  <c r="M51" i="1"/>
  <c r="U51" i="1" s="1"/>
  <c r="K51" i="1"/>
  <c r="V51" i="1" s="1"/>
  <c r="G51" i="1"/>
  <c r="Q51" i="1" s="1"/>
  <c r="V50" i="1"/>
  <c r="U50" i="1"/>
  <c r="M50" i="1"/>
  <c r="K50" i="1"/>
  <c r="G50" i="1"/>
  <c r="Q50" i="1" s="1"/>
  <c r="V49" i="1"/>
  <c r="U49" i="1"/>
  <c r="Q49" i="1"/>
  <c r="R49" i="1" s="1"/>
  <c r="M49" i="1"/>
  <c r="K49" i="1"/>
  <c r="G49" i="1"/>
  <c r="AA48" i="1"/>
  <c r="Y48" i="1"/>
  <c r="X48" i="1"/>
  <c r="V48" i="1"/>
  <c r="Q48" i="1"/>
  <c r="AB48" i="1" s="1"/>
  <c r="M48" i="1"/>
  <c r="K48" i="1"/>
  <c r="G48" i="1"/>
  <c r="X46" i="1"/>
  <c r="Y46" i="1" s="1"/>
  <c r="V46" i="1"/>
  <c r="M46" i="1"/>
  <c r="U46" i="1" s="1"/>
  <c r="K46" i="1"/>
  <c r="AA46" i="1" s="1"/>
  <c r="G46" i="1"/>
  <c r="Q46" i="1" s="1"/>
  <c r="AB45" i="1"/>
  <c r="V45" i="1"/>
  <c r="U45" i="1"/>
  <c r="R45" i="1"/>
  <c r="X45" i="1" s="1"/>
  <c r="Y45" i="1" s="1"/>
  <c r="Q45" i="1"/>
  <c r="M45" i="1"/>
  <c r="Z45" i="1" s="1"/>
  <c r="K45" i="1"/>
  <c r="G45" i="1"/>
  <c r="V44" i="1"/>
  <c r="M44" i="1"/>
  <c r="K44" i="1"/>
  <c r="G44" i="1"/>
  <c r="Q44" i="1" s="1"/>
  <c r="V42" i="1"/>
  <c r="U42" i="1"/>
  <c r="Q42" i="1"/>
  <c r="AB42" i="1" s="1"/>
  <c r="M42" i="1"/>
  <c r="K42" i="1"/>
  <c r="G42" i="1"/>
  <c r="Y41" i="1"/>
  <c r="X41" i="1"/>
  <c r="M41" i="1"/>
  <c r="U41" i="1" s="1"/>
  <c r="K41" i="1"/>
  <c r="V41" i="1" s="1"/>
  <c r="G41" i="1"/>
  <c r="Q41" i="1" s="1"/>
  <c r="V40" i="1"/>
  <c r="U40" i="1"/>
  <c r="M40" i="1"/>
  <c r="K40" i="1"/>
  <c r="G40" i="1"/>
  <c r="Q40" i="1" s="1"/>
  <c r="V39" i="1"/>
  <c r="M39" i="1"/>
  <c r="U39" i="1" s="1"/>
  <c r="K39" i="1"/>
  <c r="G39" i="1"/>
  <c r="Q39" i="1" s="1"/>
  <c r="AB38" i="1"/>
  <c r="X38" i="1"/>
  <c r="Y38" i="1" s="1"/>
  <c r="R38" i="1"/>
  <c r="Q38" i="1"/>
  <c r="M38" i="1"/>
  <c r="K38" i="1"/>
  <c r="W38" i="1" s="1"/>
  <c r="G38" i="1"/>
  <c r="X36" i="1"/>
  <c r="Y36" i="1" s="1"/>
  <c r="V36" i="1"/>
  <c r="M36" i="1"/>
  <c r="L36" i="1"/>
  <c r="K36" i="1"/>
  <c r="AA36" i="1" s="1"/>
  <c r="G36" i="1"/>
  <c r="Q36" i="1" s="1"/>
  <c r="L34" i="1"/>
  <c r="M34" i="1" s="1"/>
  <c r="K34" i="1"/>
  <c r="V34" i="1" s="1"/>
  <c r="G34" i="1"/>
  <c r="Q34" i="1" s="1"/>
  <c r="V32" i="1"/>
  <c r="M32" i="1"/>
  <c r="L32" i="1"/>
  <c r="K32" i="1"/>
  <c r="G32" i="1"/>
  <c r="Q32" i="1" s="1"/>
  <c r="AB30" i="1"/>
  <c r="AA30" i="1"/>
  <c r="X30" i="1"/>
  <c r="Y30" i="1" s="1"/>
  <c r="V30" i="1"/>
  <c r="R30" i="1"/>
  <c r="Q30" i="1"/>
  <c r="L30" i="1"/>
  <c r="M30" i="1" s="1"/>
  <c r="K30" i="1"/>
  <c r="W30" i="1" s="1"/>
  <c r="G30" i="1"/>
  <c r="V28" i="1"/>
  <c r="Q28" i="1"/>
  <c r="R28" i="1" s="1"/>
  <c r="M28" i="1"/>
  <c r="U28" i="1" s="1"/>
  <c r="L28" i="1"/>
  <c r="K28" i="1"/>
  <c r="G28" i="1"/>
  <c r="V26" i="1"/>
  <c r="Q26" i="1"/>
  <c r="AB26" i="1" s="1"/>
  <c r="M26" i="1"/>
  <c r="L26" i="1"/>
  <c r="K26" i="1"/>
  <c r="G26" i="1"/>
  <c r="V24" i="1"/>
  <c r="L24" i="1"/>
  <c r="M24" i="1" s="1"/>
  <c r="K24" i="1"/>
  <c r="G24" i="1"/>
  <c r="Q24" i="1" s="1"/>
  <c r="AA22" i="1"/>
  <c r="X22" i="1"/>
  <c r="Y22" i="1" s="1"/>
  <c r="W22" i="1"/>
  <c r="V22" i="1"/>
  <c r="Q22" i="1"/>
  <c r="R22" i="1" s="1"/>
  <c r="M22" i="1"/>
  <c r="U22" i="1" s="1"/>
  <c r="L22" i="1"/>
  <c r="K22" i="1"/>
  <c r="G22" i="1"/>
  <c r="X20" i="1"/>
  <c r="Y20" i="1" s="1"/>
  <c r="W20" i="1"/>
  <c r="V20" i="1"/>
  <c r="Q20" i="1"/>
  <c r="R20" i="1" s="1"/>
  <c r="M20" i="1"/>
  <c r="L20" i="1"/>
  <c r="K20" i="1"/>
  <c r="AA20" i="1" s="1"/>
  <c r="V18" i="1"/>
  <c r="U18" i="1"/>
  <c r="M18" i="1"/>
  <c r="K18" i="1"/>
  <c r="G18" i="1"/>
  <c r="Q18" i="1" s="1"/>
  <c r="M17" i="1"/>
  <c r="U17" i="1" s="1"/>
  <c r="K17" i="1"/>
  <c r="G17" i="1"/>
  <c r="Q17" i="1" s="1"/>
  <c r="X16" i="1"/>
  <c r="Y16" i="1" s="1"/>
  <c r="W16" i="1"/>
  <c r="V16" i="1"/>
  <c r="U16" i="1"/>
  <c r="M16" i="1"/>
  <c r="K16" i="1"/>
  <c r="AA16" i="1" s="1"/>
  <c r="G16" i="1"/>
  <c r="Q16" i="1" s="1"/>
  <c r="V15" i="1"/>
  <c r="U15" i="1"/>
  <c r="Q15" i="1"/>
  <c r="AB15" i="1" s="1"/>
  <c r="M15" i="1"/>
  <c r="K15" i="1"/>
  <c r="G15" i="1"/>
  <c r="Q14" i="1"/>
  <c r="R14" i="1" s="1"/>
  <c r="M14" i="1"/>
  <c r="U14" i="1" s="1"/>
  <c r="K14" i="1"/>
  <c r="V14" i="1" s="1"/>
  <c r="G14" i="1"/>
  <c r="X13" i="1"/>
  <c r="Y13" i="1" s="1"/>
  <c r="W13" i="1"/>
  <c r="V13" i="1"/>
  <c r="M13" i="1"/>
  <c r="U13" i="1" s="1"/>
  <c r="K13" i="1"/>
  <c r="AA13" i="1" s="1"/>
  <c r="G13" i="1"/>
  <c r="Q13" i="1" s="1"/>
  <c r="V12" i="1"/>
  <c r="U12" i="1"/>
  <c r="M12" i="1"/>
  <c r="K12" i="1"/>
  <c r="G12" i="1"/>
  <c r="Q12" i="1" s="1"/>
  <c r="M11" i="1"/>
  <c r="U11" i="1" s="1"/>
  <c r="K11" i="1"/>
  <c r="V11" i="1" s="1"/>
  <c r="G11" i="1"/>
  <c r="Q11" i="1" s="1"/>
  <c r="AB11" i="1" s="1"/>
  <c r="X10" i="1"/>
  <c r="Y10" i="1" s="1"/>
  <c r="Q10" i="1"/>
  <c r="AB10" i="1" s="1"/>
  <c r="M10" i="1"/>
  <c r="U10" i="1" s="1"/>
  <c r="K10" i="1"/>
  <c r="W10" i="1" s="1"/>
  <c r="G10" i="1"/>
  <c r="Z30" i="1" l="1"/>
  <c r="U30" i="1"/>
  <c r="Z50" i="1"/>
  <c r="AB40" i="1"/>
  <c r="R40" i="1"/>
  <c r="R44" i="1"/>
  <c r="AB44" i="1"/>
  <c r="AB18" i="1"/>
  <c r="R18" i="1"/>
  <c r="AA18" i="1" s="1"/>
  <c r="AA50" i="1"/>
  <c r="X28" i="1"/>
  <c r="Y28" i="1" s="1"/>
  <c r="W28" i="1"/>
  <c r="AA28" i="1"/>
  <c r="R34" i="1"/>
  <c r="AB34" i="1"/>
  <c r="R39" i="1"/>
  <c r="AB39" i="1"/>
  <c r="R46" i="1"/>
  <c r="Z46" i="1" s="1"/>
  <c r="AB46" i="1"/>
  <c r="AB51" i="1"/>
  <c r="R51" i="1"/>
  <c r="AB41" i="1"/>
  <c r="R41" i="1"/>
  <c r="W41" i="1" s="1"/>
  <c r="R17" i="1"/>
  <c r="AB17" i="1"/>
  <c r="AB24" i="1"/>
  <c r="R24" i="1"/>
  <c r="U24" i="1" s="1"/>
  <c r="Z34" i="1"/>
  <c r="AB13" i="1"/>
  <c r="R13" i="1"/>
  <c r="AB16" i="1"/>
  <c r="R16" i="1"/>
  <c r="Z16" i="1" s="1"/>
  <c r="W17" i="1"/>
  <c r="AB32" i="1"/>
  <c r="R32" i="1"/>
  <c r="AA32" i="1" s="1"/>
  <c r="R36" i="1"/>
  <c r="AB36" i="1"/>
  <c r="AB50" i="1"/>
  <c r="R50" i="1"/>
  <c r="AA10" i="1"/>
  <c r="Z22" i="1"/>
  <c r="Z26" i="1"/>
  <c r="AA38" i="1"/>
  <c r="AA45" i="1"/>
  <c r="Z28" i="1"/>
  <c r="R26" i="1"/>
  <c r="W36" i="1"/>
  <c r="Z41" i="1"/>
  <c r="R53" i="1"/>
  <c r="AB22" i="1"/>
  <c r="AB28" i="1"/>
  <c r="Z38" i="1"/>
  <c r="AB49" i="1"/>
  <c r="V10" i="1"/>
  <c r="Z13" i="1"/>
  <c r="V38" i="1"/>
  <c r="W45" i="1"/>
  <c r="AA51" i="1"/>
  <c r="AA41" i="1"/>
  <c r="Z32" i="1"/>
  <c r="AA17" i="1"/>
  <c r="V17" i="1"/>
  <c r="AB12" i="1"/>
  <c r="R12" i="1"/>
  <c r="W12" i="1" s="1"/>
  <c r="Z49" i="1"/>
  <c r="X49" i="1"/>
  <c r="Y49" i="1" s="1"/>
  <c r="W49" i="1"/>
  <c r="AA49" i="1"/>
  <c r="X14" i="1"/>
  <c r="Y14" i="1" s="1"/>
  <c r="AA14" i="1"/>
  <c r="Z14" i="1"/>
  <c r="W14" i="1"/>
  <c r="R10" i="1"/>
  <c r="Z10" i="1" s="1"/>
  <c r="U38" i="1"/>
  <c r="R42" i="1"/>
  <c r="AA24" i="1"/>
  <c r="R48" i="1"/>
  <c r="W18" i="1"/>
  <c r="X18" i="1"/>
  <c r="Y18" i="1" s="1"/>
  <c r="R11" i="1"/>
  <c r="U26" i="1"/>
  <c r="AB14" i="1"/>
  <c r="Z18" i="1"/>
  <c r="W53" i="1"/>
  <c r="W26" i="1"/>
  <c r="W39" i="1"/>
  <c r="X53" i="1"/>
  <c r="Y53" i="1" s="1"/>
  <c r="X39" i="1"/>
  <c r="Y39" i="1" s="1"/>
  <c r="R15" i="1"/>
  <c r="U34" i="1"/>
  <c r="W34" i="1"/>
  <c r="Z44" i="1" l="1"/>
  <c r="AA44" i="1"/>
  <c r="X44" i="1"/>
  <c r="Y44" i="1" s="1"/>
  <c r="W44" i="1"/>
  <c r="X40" i="1"/>
  <c r="Y40" i="1" s="1"/>
  <c r="W40" i="1"/>
  <c r="Z40" i="1"/>
  <c r="AA53" i="1"/>
  <c r="U53" i="1"/>
  <c r="Z51" i="1"/>
  <c r="W51" i="1"/>
  <c r="Z36" i="1"/>
  <c r="U36" i="1"/>
  <c r="X24" i="1"/>
  <c r="Y24" i="1" s="1"/>
  <c r="W24" i="1"/>
  <c r="Z24" i="1"/>
  <c r="X32" i="1"/>
  <c r="Y32" i="1" s="1"/>
  <c r="W46" i="1"/>
  <c r="Z53" i="1"/>
  <c r="W32" i="1"/>
  <c r="X17" i="1"/>
  <c r="Y17" i="1" s="1"/>
  <c r="Z17" i="1"/>
  <c r="Z39" i="1"/>
  <c r="AA39" i="1"/>
  <c r="U44" i="1"/>
  <c r="W50" i="1"/>
  <c r="X50" i="1"/>
  <c r="Y50" i="1" s="1"/>
  <c r="U32" i="1"/>
  <c r="X26" i="1"/>
  <c r="Y26" i="1" s="1"/>
  <c r="AA26" i="1"/>
  <c r="X34" i="1"/>
  <c r="Y34" i="1" s="1"/>
  <c r="AA34" i="1"/>
  <c r="AA40" i="1"/>
  <c r="Z12" i="1"/>
  <c r="X12" i="1"/>
  <c r="Y12" i="1" s="1"/>
  <c r="AA12" i="1"/>
  <c r="AA42" i="1"/>
  <c r="Z42" i="1"/>
  <c r="X42" i="1"/>
  <c r="Y42" i="1" s="1"/>
  <c r="W42" i="1"/>
  <c r="AA15" i="1"/>
  <c r="Z15" i="1"/>
  <c r="W15" i="1"/>
  <c r="X15" i="1"/>
  <c r="Y15" i="1" s="1"/>
  <c r="AA11" i="1"/>
  <c r="Z11" i="1"/>
  <c r="W11" i="1"/>
  <c r="X11" i="1"/>
  <c r="Y11" i="1" s="1"/>
  <c r="Z48" i="1"/>
  <c r="W48" i="1"/>
  <c r="U48" i="1"/>
</calcChain>
</file>

<file path=xl/sharedStrings.xml><?xml version="1.0" encoding="utf-8"?>
<sst xmlns="http://schemas.openxmlformats.org/spreadsheetml/2006/main" count="1200" uniqueCount="370">
  <si>
    <t xml:space="preserve">Config KP </t>
  </si>
  <si>
    <t>R Piv (from center)</t>
  </si>
  <si>
    <t xml:space="preserve">In psu (g/kg of water) </t>
  </si>
  <si>
    <t>distance from border</t>
  </si>
  <si>
    <t>time where h= 0.8 H</t>
  </si>
  <si>
    <t>limite diffusion de QDM</t>
  </si>
  <si>
    <t xml:space="preserve">Ri  = N^2 h^2 / 2u* </t>
  </si>
  <si>
    <t>Re = U/sqrt(D Omega. Nu)</t>
  </si>
  <si>
    <t xml:space="preserve">et h = 0,5 H </t>
  </si>
  <si>
    <t>Date</t>
  </si>
  <si>
    <t>EXP</t>
  </si>
  <si>
    <t>Filling</t>
  </si>
  <si>
    <t xml:space="preserve"> </t>
  </si>
  <si>
    <t>T_ini(s)</t>
  </si>
  <si>
    <t>T_final(s)</t>
  </si>
  <si>
    <t>D omega</t>
  </si>
  <si>
    <t>H(cm)</t>
  </si>
  <si>
    <t>T_cold(°C)</t>
  </si>
  <si>
    <t>T_hot(°C)</t>
  </si>
  <si>
    <t>f</t>
  </si>
  <si>
    <t>Drho/rho</t>
  </si>
  <si>
    <t>N</t>
  </si>
  <si>
    <t>R</t>
  </si>
  <si>
    <t>sel</t>
  </si>
  <si>
    <t>Colorant</t>
  </si>
  <si>
    <t>U(cm/s</t>
  </si>
  <si>
    <t>u*(cm/s)</t>
  </si>
  <si>
    <t>PIV/vert</t>
  </si>
  <si>
    <t>Advp (dist-m)</t>
  </si>
  <si>
    <t>Duration</t>
  </si>
  <si>
    <t>time Ek_turb_stationaire(s)</t>
  </si>
  <si>
    <t>Ek- layer (cm)</t>
  </si>
  <si>
    <t>d95 (cm)</t>
  </si>
  <si>
    <t>BL (cm)</t>
  </si>
  <si>
    <t xml:space="preserve">Ri </t>
  </si>
  <si>
    <t xml:space="preserve">Ro </t>
  </si>
  <si>
    <t>Re</t>
  </si>
  <si>
    <t xml:space="preserve">if div : 100s </t>
  </si>
  <si>
    <t>1 ( homogene)</t>
  </si>
  <si>
    <t>TEST1</t>
  </si>
  <si>
    <t>room</t>
  </si>
  <si>
    <t>NON</t>
  </si>
  <si>
    <t>TEST2</t>
  </si>
  <si>
    <t>TEST3</t>
  </si>
  <si>
    <t>TEST4</t>
  </si>
  <si>
    <t>OUI</t>
  </si>
  <si>
    <t>TEST5</t>
  </si>
  <si>
    <t>TEST6</t>
  </si>
  <si>
    <t>TEST7</t>
  </si>
  <si>
    <t>TEST8</t>
  </si>
  <si>
    <t>TEST9</t>
  </si>
  <si>
    <t>2 (strat temperature)</t>
  </si>
  <si>
    <t>Mesure sur 2 jours</t>
  </si>
  <si>
    <t>11-15/04</t>
  </si>
  <si>
    <t>STRAT-T</t>
  </si>
  <si>
    <t>3 (strat temperature)</t>
  </si>
  <si>
    <t>EXP1</t>
  </si>
  <si>
    <t>4 (strat temperature)</t>
  </si>
  <si>
    <t>EXP2</t>
  </si>
  <si>
    <t>5 (strat temperature)</t>
  </si>
  <si>
    <t>EXP3</t>
  </si>
  <si>
    <t>6 (strat temperature)</t>
  </si>
  <si>
    <t>EXP4</t>
  </si>
  <si>
    <t>7 (strat temperature)</t>
  </si>
  <si>
    <t>EXP5</t>
  </si>
  <si>
    <t>8 (strat temperature)</t>
  </si>
  <si>
    <t>EXP6</t>
  </si>
  <si>
    <t>9 (strat temperature)</t>
  </si>
  <si>
    <t>EXP7</t>
  </si>
  <si>
    <t>10 (strat temperature)</t>
  </si>
  <si>
    <t>EXP8</t>
  </si>
  <si>
    <t>11 (strat sel)</t>
  </si>
  <si>
    <t>EXP9</t>
  </si>
  <si>
    <t>EXP10</t>
  </si>
  <si>
    <t>EXP11</t>
  </si>
  <si>
    <t>EXP12</t>
  </si>
  <si>
    <t>EXP13</t>
  </si>
  <si>
    <t>12 (strat sel)</t>
  </si>
  <si>
    <t xml:space="preserve">EXP 14 </t>
  </si>
  <si>
    <t>EXP 15</t>
  </si>
  <si>
    <t>EXP 16</t>
  </si>
  <si>
    <t>13 (strat sel)</t>
  </si>
  <si>
    <t>EXP17</t>
  </si>
  <si>
    <t>EXP18</t>
  </si>
  <si>
    <t>EXP19</t>
  </si>
  <si>
    <t>EXP20</t>
  </si>
  <si>
    <t>14 (strat sel)</t>
  </si>
  <si>
    <t>PIV UVMAT</t>
  </si>
  <si>
    <t xml:space="preserve">Date </t>
  </si>
  <si>
    <t xml:space="preserve">T_end(s) </t>
  </si>
  <si>
    <t>time experience</t>
  </si>
  <si>
    <t>texpo</t>
  </si>
  <si>
    <t>freq JAI</t>
  </si>
  <si>
    <t>ROI</t>
  </si>
  <si>
    <t>Bursrt</t>
  </si>
  <si>
    <t>Dist ADVP</t>
  </si>
  <si>
    <t>hADV</t>
  </si>
  <si>
    <t>Profileur T</t>
  </si>
  <si>
    <t>Puissance laser</t>
  </si>
  <si>
    <t>Remarques</t>
  </si>
  <si>
    <t>Extraction</t>
  </si>
  <si>
    <t>Civ1</t>
  </si>
  <si>
    <t>civ2</t>
  </si>
  <si>
    <t>EXP01</t>
  </si>
  <si>
    <t>5ms</t>
  </si>
  <si>
    <t>50 (Hz)</t>
  </si>
  <si>
    <t>non</t>
  </si>
  <si>
    <t>X</t>
  </si>
  <si>
    <t>2m</t>
  </si>
  <si>
    <t xml:space="preserve">25.2 cm </t>
  </si>
  <si>
    <t>EXP02</t>
  </si>
  <si>
    <t>50(Hz)</t>
  </si>
  <si>
    <t>10 W</t>
  </si>
  <si>
    <t>EXP03</t>
  </si>
  <si>
    <t>'’</t>
  </si>
  <si>
    <t xml:space="preserve">50(Hz) </t>
  </si>
  <si>
    <t xml:space="preserve">non </t>
  </si>
  <si>
    <t>EXP04</t>
  </si>
  <si>
    <t>4ms</t>
  </si>
  <si>
    <t xml:space="preserve">100(Hz) </t>
  </si>
  <si>
    <t>5im/1s -f =100</t>
  </si>
  <si>
    <t>1m</t>
  </si>
  <si>
    <t xml:space="preserve">PIV burst dt entre im1 et im2 dt de 28ms au lieu de 10ms 1er paquet =4 image au lieu de 5 </t>
  </si>
  <si>
    <t>EXP05</t>
  </si>
  <si>
    <t>3im/250ms f=100</t>
  </si>
  <si>
    <t xml:space="preserve">PB aquisition, burst manque 1 image a un endroits + replication images à certain endroits </t>
  </si>
  <si>
    <t>EXP06</t>
  </si>
  <si>
    <t>EXP07</t>
  </si>
  <si>
    <t>2im/200ms f=100</t>
  </si>
  <si>
    <t>EXP08</t>
  </si>
  <si>
    <t>1ms</t>
  </si>
  <si>
    <t>3im/200ms f=100</t>
  </si>
  <si>
    <t>x</t>
  </si>
  <si>
    <t xml:space="preserve"> 10 cm/s- toute 10 s </t>
  </si>
  <si>
    <t>Strat 10 cm d'homogene en haut/ PIV aquisition floue a un moment (mélange) / qq images manquantes et répliqué</t>
  </si>
  <si>
    <t>EXP09</t>
  </si>
  <si>
    <t>50.1 (sup :49.2)</t>
  </si>
  <si>
    <t>oui PCO (1/2560 - 544/1617)</t>
  </si>
  <si>
    <t>3cm R=450cm</t>
  </si>
  <si>
    <t>Spinup</t>
  </si>
  <si>
    <t>Spindown</t>
  </si>
  <si>
    <t>oui 3 PCO (1/2560 - 544/1617)</t>
  </si>
  <si>
    <t>5 cm/s toute 1s</t>
  </si>
  <si>
    <t>stereo</t>
  </si>
  <si>
    <t>oui 2 PCO (1/2560 - 544/1617)</t>
  </si>
  <si>
    <t>EXP14</t>
  </si>
  <si>
    <t>OUBLI ECHELLE</t>
  </si>
  <si>
    <t>EXP15</t>
  </si>
  <si>
    <t>Rhodamine 6G 0.2 Gr</t>
  </si>
  <si>
    <t>Injection 3cm d'eau froide 17°c sur le fond avec injection de Rhodamine 1 becher 500ml de 0.2 Gr pour faire une couche de colorant</t>
  </si>
  <si>
    <t>EXP16</t>
  </si>
  <si>
    <t>3 cm/s toute 1s</t>
  </si>
  <si>
    <t>strat de 13cm au fond</t>
  </si>
  <si>
    <t>Fond Chauffant</t>
  </si>
  <si>
    <t>TYPE(0-S-R)</t>
  </si>
  <si>
    <t>Temps chauffage</t>
  </si>
  <si>
    <t>T_homo(°C)</t>
  </si>
  <si>
    <t xml:space="preserve">f </t>
  </si>
  <si>
    <t>Time experience</t>
  </si>
  <si>
    <t>PIVver</t>
  </si>
  <si>
    <t>Texpo- PCO</t>
  </si>
  <si>
    <t>Burst Stereo</t>
  </si>
  <si>
    <t xml:space="preserve">PIVhor </t>
  </si>
  <si>
    <t>Texpo-Jai</t>
  </si>
  <si>
    <t>Aquisition horizontale</t>
  </si>
  <si>
    <t>Comments</t>
  </si>
  <si>
    <t>RB-0</t>
  </si>
  <si>
    <t xml:space="preserve">1800 s </t>
  </si>
  <si>
    <t>3im/500ms f=50  (10800im)</t>
  </si>
  <si>
    <t>1niv (10 cm)  -  Burst 3im/500ms f=50  (10800im)</t>
  </si>
  <si>
    <t>Pb aquisition jai, Chauffage immédiat, Pb aquisition Labview</t>
  </si>
  <si>
    <t>RB-R</t>
  </si>
  <si>
    <t>3 cm/s</t>
  </si>
  <si>
    <t>Température (°C)</t>
  </si>
  <si>
    <t>TCA (V)</t>
  </si>
  <si>
    <t>TCB (V)</t>
  </si>
  <si>
    <t>TCC (V)</t>
  </si>
  <si>
    <t>T_sonde (V)</t>
  </si>
  <si>
    <t>T_plaque (V)</t>
  </si>
  <si>
    <t>H réel (cm)</t>
  </si>
  <si>
    <t>Pv (Hz)</t>
  </si>
  <si>
    <t>estimé</t>
  </si>
  <si>
    <t>50 (Sup:52.3)</t>
  </si>
  <si>
    <t>49.6 (Sup:51.9)</t>
  </si>
  <si>
    <t>8ms</t>
  </si>
  <si>
    <t>ADV démarré apres 1min40</t>
  </si>
  <si>
    <t>(Si homogene)</t>
  </si>
  <si>
    <t xml:space="preserve">En cas de </t>
  </si>
  <si>
    <t>Stratif</t>
  </si>
  <si>
    <t>Si Rotation</t>
  </si>
  <si>
    <t>Si friction</t>
  </si>
  <si>
    <t xml:space="preserve">Coriolis </t>
  </si>
  <si>
    <t>RB-0 (classique)</t>
  </si>
  <si>
    <t xml:space="preserve">RB-S (stratif ) </t>
  </si>
  <si>
    <t>R = 5.5,4.5, 3.5m</t>
  </si>
  <si>
    <t>RB-R (Rotation)</t>
  </si>
  <si>
    <t>RB-ST (strat-rot)</t>
  </si>
  <si>
    <t>RB-KP (friction)</t>
  </si>
  <si>
    <t>Type</t>
  </si>
  <si>
    <t xml:space="preserve">Multilevel </t>
  </si>
  <si>
    <t>Semaine : 10-14 juin</t>
  </si>
  <si>
    <t xml:space="preserve">RB-0 </t>
  </si>
  <si>
    <t>30min</t>
  </si>
  <si>
    <t>Non</t>
  </si>
  <si>
    <t>Volumetrique sur les 50 cm (le pus rapide possible) (scan =1s)</t>
  </si>
  <si>
    <t xml:space="preserve">10 niv (tt 5cm) - 11 sec/niv - 15Hz (27000 im pour 15 cycles) </t>
  </si>
  <si>
    <t>Semaine : 17-21 juin</t>
  </si>
  <si>
    <t>(test stratif+chauffage)</t>
  </si>
  <si>
    <t>RB-S</t>
  </si>
  <si>
    <t>EXP XX</t>
  </si>
  <si>
    <t>(test chauffage max)</t>
  </si>
  <si>
    <t>RB- R</t>
  </si>
  <si>
    <t>Semaine : 24-27 juin</t>
  </si>
  <si>
    <t>RB- S</t>
  </si>
  <si>
    <t>RB- 0</t>
  </si>
  <si>
    <t>Semaine : 1-5 juillet</t>
  </si>
  <si>
    <t>RB- SR</t>
  </si>
  <si>
    <t>Semaine : 8-12 juillet</t>
  </si>
  <si>
    <t>Semaine : 15-19 juillet</t>
  </si>
  <si>
    <t>Semaine : 22-26 juillet</t>
  </si>
  <si>
    <t>RB- KP-S</t>
  </si>
  <si>
    <t>RB- KP</t>
  </si>
  <si>
    <t>Semaine : 29-02 juillet</t>
  </si>
  <si>
    <t>EXP21</t>
  </si>
  <si>
    <t>Temps chauffage au debut</t>
  </si>
  <si>
    <t xml:space="preserve"> 0s + 30min experience</t>
  </si>
  <si>
    <t xml:space="preserve">1800s </t>
  </si>
  <si>
    <t xml:space="preserve"> 4h   22 m50x s + 30min experience</t>
  </si>
  <si>
    <t>10ms</t>
  </si>
  <si>
    <t xml:space="preserve">PIV Hor Volumetrique </t>
  </si>
  <si>
    <t>La Stereo à bougé, les deux caméra sont inclinée/ test volume apres exp</t>
  </si>
  <si>
    <t xml:space="preserve">Oui (apres Piv Hor classique) </t>
  </si>
  <si>
    <t xml:space="preserve">Param </t>
  </si>
  <si>
    <t xml:space="preserve">Htot = 360/ Dtl = 1050ms/ Dtv = 10s / De = 4.2mm/dS =9.8 mm / texpo = 10ms / Dtj + 14 ms/ 36im /vol </t>
  </si>
  <si>
    <t>240(pour le spin up)</t>
  </si>
  <si>
    <t>RB-0 + RB_KP</t>
  </si>
  <si>
    <t>OUI / spin up</t>
  </si>
  <si>
    <t>2ms</t>
  </si>
  <si>
    <t>3im/200ms f=50  (10800im)</t>
  </si>
  <si>
    <t>33 min volume + 1000s spin up</t>
  </si>
  <si>
    <t>10 ms</t>
  </si>
  <si>
    <t xml:space="preserve">Oui (avnt spin up </t>
  </si>
  <si>
    <t>continu 5Hz / 30min</t>
  </si>
  <si>
    <t xml:space="preserve">50ms </t>
  </si>
  <si>
    <t xml:space="preserve">Htot = 360/ Dtl = 1050ms/ Dtv = 10s / De = 4.2mm/dS =4.9 mm / texpo = 10ms / Dtj + 7 ms/ 36im /vol </t>
  </si>
  <si>
    <t xml:space="preserve">Htot = 360/ Dtl = 1050ms/ Dtv = 10s / De = 5.6mm/dS =6.3 mm / texpo = 8ms / Dtj + 7 ms/ 57im /vol </t>
  </si>
  <si>
    <t xml:space="preserve">Tps expo resté a 10 ms pour Dtj à 7ms (1 im /2 loupé dans chaques scans) et commande de frame rate plus grand que freq max de jai </t>
  </si>
  <si>
    <t>EXP22-1</t>
  </si>
  <si>
    <t>EXP22-2</t>
  </si>
  <si>
    <t xml:space="preserve">3h 45 min </t>
  </si>
  <si>
    <t>51 (Sup:52.3)</t>
  </si>
  <si>
    <t>1800s + 33m volume</t>
  </si>
  <si>
    <t>EXP22-3</t>
  </si>
  <si>
    <t xml:space="preserve">Ajout Agent mouillant pendant aquisition horizontale (tache bouge en surface)  </t>
  </si>
  <si>
    <t>52 (Sup:52.3)</t>
  </si>
  <si>
    <t xml:space="preserve">4h 45 min / coupage chauffage debut </t>
  </si>
  <si>
    <t>1niv (10 cm)  - continu f=5Hz</t>
  </si>
  <si>
    <t>Xh XX min /Spin up</t>
  </si>
  <si>
    <t xml:space="preserve">RB-R + KP </t>
  </si>
  <si>
    <t>EXP23-1</t>
  </si>
  <si>
    <t>EXP23-2</t>
  </si>
  <si>
    <t>EXP23-3</t>
  </si>
  <si>
    <t xml:space="preserve">10ms </t>
  </si>
  <si>
    <t xml:space="preserve">Oui (apres Piv Hor classique (38 min apres chauffage) </t>
  </si>
  <si>
    <t xml:space="preserve">Oui (apres Piv Hor classique (XXmin apres chauffage) </t>
  </si>
  <si>
    <t xml:space="preserve">Oui (apres Piv Hor classique (33 min apres chauffage) </t>
  </si>
  <si>
    <t xml:space="preserve">4h 10 min </t>
  </si>
  <si>
    <t xml:space="preserve">Pas assez de place disque pour utiliser la jai   </t>
  </si>
  <si>
    <t>Tsonde</t>
  </si>
  <si>
    <t>Tplaque</t>
  </si>
  <si>
    <t>EXP24</t>
  </si>
  <si>
    <t xml:space="preserve"> 0s + 2h d'exp</t>
  </si>
  <si>
    <t>7200s</t>
  </si>
  <si>
    <t>continu 5Hz / 2hmin</t>
  </si>
  <si>
    <t>53 (Sup:52.3)</t>
  </si>
  <si>
    <t>H_stratifié</t>
  </si>
  <si>
    <t>EXP25</t>
  </si>
  <si>
    <t>EXP26-1</t>
  </si>
  <si>
    <t>EXP26-2</t>
  </si>
  <si>
    <t xml:space="preserve">RB-R+ KP </t>
  </si>
  <si>
    <t>EXP27</t>
  </si>
  <si>
    <t>9000s</t>
  </si>
  <si>
    <t xml:space="preserve">1niv (10 cm)  - continu f=5Hz (4000s) </t>
  </si>
  <si>
    <t>Chauffage disdjoncté, labview commencé plut tot  +(camera IR)</t>
  </si>
  <si>
    <t>Aquisition Jai pdt 4000s demaré 3min apres debut  et PCO pdt 2h30 +(camera IR)</t>
  </si>
  <si>
    <t>XX</t>
  </si>
  <si>
    <t>EXP28</t>
  </si>
  <si>
    <t>Xh XX min / +Spin up</t>
  </si>
  <si>
    <t xml:space="preserve">1000s </t>
  </si>
  <si>
    <t>Tair=26°C</t>
  </si>
  <si>
    <t>EXP29</t>
  </si>
  <si>
    <t>EXP28-1</t>
  </si>
  <si>
    <t>30 min + 30min experience</t>
  </si>
  <si>
    <t>33m volume</t>
  </si>
  <si>
    <t>8ms JAI</t>
  </si>
  <si>
    <t>volume 111Hz / 30min</t>
  </si>
  <si>
    <t>57im/vol X2  -400 vol</t>
  </si>
  <si>
    <t>Tair=26°C  Redémarrage PIV vol après 2 min car pas le bon débit</t>
  </si>
  <si>
    <t>10800s</t>
  </si>
  <si>
    <t>RB-SR</t>
  </si>
  <si>
    <t>Dépôt de particules sur les joint, sub background a faire avant PIV</t>
  </si>
  <si>
    <t xml:space="preserve"> 0s + 3h d'exp</t>
  </si>
  <si>
    <t xml:space="preserve">1niv (10 cm)  - continu f=5Hz (1h30m) </t>
  </si>
  <si>
    <t>continu 5Hz / 3h min</t>
  </si>
  <si>
    <t xml:space="preserve">1er volume laser pas allumé , nb image OK mais pas exploitable </t>
  </si>
  <si>
    <r>
      <t xml:space="preserve">600 Vol Htot = 360/ Dtl = 1050ms/ </t>
    </r>
    <r>
      <rPr>
        <sz val="12"/>
        <color rgb="FFFF0000"/>
        <rFont val="Calibri"/>
        <family val="2"/>
      </rPr>
      <t>Dtv = 12s A confirmer</t>
    </r>
    <r>
      <rPr>
        <sz val="12"/>
        <color rgb="FF000000"/>
        <rFont val="Calibri"/>
        <family val="2"/>
        <charset val="1"/>
      </rPr>
      <t xml:space="preserve"> / De = 5.6mm/dS =6.3 mm / texpo = 8ms / Dtj + 7 ms/ 57im /vol </t>
    </r>
  </si>
  <si>
    <t>2h</t>
  </si>
  <si>
    <t>EXP30</t>
  </si>
  <si>
    <t>EXP31</t>
  </si>
  <si>
    <t>EXP32</t>
  </si>
  <si>
    <t>EXP33</t>
  </si>
  <si>
    <t xml:space="preserve">RB-SR sel </t>
  </si>
  <si>
    <t xml:space="preserve">XX strat sel </t>
  </si>
  <si>
    <t>EXP34</t>
  </si>
  <si>
    <t>EXP35</t>
  </si>
  <si>
    <t xml:space="preserve">RB-Test colorant </t>
  </si>
  <si>
    <t>RB-SR sel</t>
  </si>
  <si>
    <t xml:space="preserve">XX </t>
  </si>
  <si>
    <t>2 eme obs avec la Jai lancé a 14h06</t>
  </si>
  <si>
    <t>jai lancé a 1h09min12s</t>
  </si>
  <si>
    <t>EXP_Test</t>
  </si>
  <si>
    <t>continu 5Hz / 10min</t>
  </si>
  <si>
    <t>OUI Rh G</t>
  </si>
  <si>
    <t>OUI RhG</t>
  </si>
  <si>
    <t>OUI Rh B</t>
  </si>
  <si>
    <t>OUI RhB</t>
  </si>
  <si>
    <t>EXP36</t>
  </si>
  <si>
    <t>EXP37</t>
  </si>
  <si>
    <t xml:space="preserve">Pb avec position sondes pour EXP 34 35 </t>
  </si>
  <si>
    <t>EXP38</t>
  </si>
  <si>
    <t>PCO LIF (filtre ajouté)</t>
  </si>
  <si>
    <t>RB-S_KP</t>
  </si>
  <si>
    <t>EXP39</t>
  </si>
  <si>
    <t>volume</t>
  </si>
  <si>
    <t>53 (Sup:52.5)</t>
  </si>
  <si>
    <t xml:space="preserve">2mm d'eau en plus. Jai PB pas d'aquisition </t>
  </si>
  <si>
    <r>
      <t xml:space="preserve">thermisance a 5 et 15cm _ </t>
    </r>
    <r>
      <rPr>
        <sz val="12"/>
        <color rgb="FFFF0000"/>
        <rFont val="Calibri"/>
        <family val="2"/>
      </rPr>
      <t>MODIFER MASK PCO</t>
    </r>
    <r>
      <rPr>
        <sz val="12"/>
        <color rgb="FF000000"/>
        <rFont val="Calibri"/>
        <family val="2"/>
        <charset val="1"/>
      </rPr>
      <t xml:space="preserve">  du  fond, bcp tourbillons</t>
    </r>
  </si>
  <si>
    <t>EXP40</t>
  </si>
  <si>
    <t>CALIB _/MASK  burst 3im/30hz/1h démarrage thermique avec labview, démarrage chauffage avec PIV, spin-up 30s après début PIV, problème PIV : seulement 2 images par burst, 36000 images en tout    Changement de PCO : Caibration a refaire OUBLI ECHELLE</t>
  </si>
  <si>
    <t xml:space="preserve"> 0s + 1h d'exp</t>
  </si>
  <si>
    <t>continu 5Hz / 2h min (36000)</t>
  </si>
  <si>
    <t>3600s</t>
  </si>
  <si>
    <r>
      <t xml:space="preserve">600 Vol Htot = 360/ Dtl = 1200ms/ </t>
    </r>
    <r>
      <rPr>
        <sz val="12"/>
        <color rgb="FFFF0000"/>
        <rFont val="Calibri"/>
        <family val="2"/>
      </rPr>
      <t xml:space="preserve">Dtv = 15s </t>
    </r>
    <r>
      <rPr>
        <sz val="12"/>
        <color rgb="FF000000"/>
        <rFont val="Calibri"/>
        <family val="2"/>
        <charset val="1"/>
      </rPr>
      <t xml:space="preserve"> / De = 5.6mm/dS =6.3 mm / texpo = 9ms / Dtj + 7 ms/ 59im /vol </t>
    </r>
  </si>
  <si>
    <t>3im/200ms f=30  (54000im)</t>
  </si>
  <si>
    <t>1niv (10 cm)  - 3im/200ms f=30  (54000im)</t>
  </si>
  <si>
    <t>3im/200ms f=30  (36000im/Pco)</t>
  </si>
  <si>
    <t>RB-0 (1m)</t>
  </si>
  <si>
    <t xml:space="preserve">1h + volume </t>
  </si>
  <si>
    <t>continu 5Hz / 1h min (18000/pco)</t>
  </si>
  <si>
    <r>
      <t xml:space="preserve">300 Vol Htot = 360/ Dtl = 1200ms/ </t>
    </r>
    <r>
      <rPr>
        <sz val="12"/>
        <color rgb="FFFF0000"/>
        <rFont val="Calibri"/>
        <family val="2"/>
      </rPr>
      <t xml:space="preserve">Dtv = 10s </t>
    </r>
    <r>
      <rPr>
        <sz val="12"/>
        <color rgb="FF000000"/>
        <rFont val="Calibri"/>
        <family val="2"/>
        <charset val="1"/>
      </rPr>
      <t xml:space="preserve"> / De = 5.6mm/dS =6.3 mm / texpo = 9ms / Dtj + 7 ms/ 64im /vol </t>
    </r>
  </si>
  <si>
    <t xml:space="preserve">Calib PCO et Jai a refaire volume lancé 1h05 apres debut de chauffe </t>
  </si>
  <si>
    <t>EXP41</t>
  </si>
  <si>
    <t>96.6cm</t>
  </si>
  <si>
    <t>98.3m</t>
  </si>
  <si>
    <t xml:space="preserve">volume 3h30 apres PCO, Thermique  lancé à 10h46 (15 min apres)  (pb aquisition avec sondes thermistance) </t>
  </si>
  <si>
    <t>EXP42</t>
  </si>
  <si>
    <t>1h + volume +STEREO-2</t>
  </si>
  <si>
    <t xml:space="preserve">volume 1h15 apres PCO,pas de  Thermique  (pb aquisition avec sondes thermistance Doute.. ) - Manque 2 images dans le premier volume </t>
  </si>
  <si>
    <t xml:space="preserve">1h +Jai </t>
  </si>
  <si>
    <t xml:space="preserve">Niv horizontal jai = 39cm </t>
  </si>
  <si>
    <t>EXP43-1</t>
  </si>
  <si>
    <t>EXP43-2</t>
  </si>
  <si>
    <t>C_CA(V)</t>
  </si>
  <si>
    <t>C_CB(V)</t>
  </si>
  <si>
    <t>C_CC(V)</t>
  </si>
  <si>
    <t>SONDE A</t>
  </si>
  <si>
    <t>SONDE B</t>
  </si>
  <si>
    <t>SONDE C</t>
  </si>
  <si>
    <t>Densité (kg/m3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</si>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</sst>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1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FE007F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BF90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BFBFBF"/>
      </patternFill>
    </fill>
    <fill>
      <patternFill patternType="solid">
        <fgColor rgb="FFFF0000"/>
        <bgColor rgb="FFFE007F"/>
      </patternFill>
    </fill>
    <fill>
      <patternFill patternType="solid">
        <fgColor rgb="FFE7E6E6"/>
        <bgColor rgb="FFF2F2F2"/>
      </patternFill>
    </fill>
    <fill>
      <patternFill patternType="solid">
        <fgColor rgb="FFF4B183"/>
        <b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6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9" fillId="3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Border="1" applyAlignment="1" applyProtection="1">
      <alignment horizontal="center"/>
    </xf>
    <xf numFmtId="14" fontId="0" fillId="0" borderId="0" xfId="0" applyNumberFormat="1"/>
    <xf numFmtId="0" fontId="7" fillId="3" borderId="0" xfId="2" applyBorder="1" applyAlignment="1" applyProtection="1">
      <alignment horizontal="center" vertical="center"/>
    </xf>
    <xf numFmtId="14" fontId="6" fillId="2" borderId="0" xfId="1" applyNumberFormat="1" applyBorder="1" applyAlignment="1" applyProtection="1">
      <alignment horizontal="center"/>
    </xf>
    <xf numFmtId="0" fontId="8" fillId="4" borderId="0" xfId="3" applyBorder="1" applyAlignment="1" applyProtection="1">
      <alignment horizontal="center" vertical="center"/>
    </xf>
    <xf numFmtId="16" fontId="0" fillId="0" borderId="0" xfId="0" applyNumberFormat="1"/>
    <xf numFmtId="16" fontId="6" fillId="2" borderId="0" xfId="1" applyNumberFormat="1" applyBorder="1" applyAlignment="1" applyProtection="1">
      <alignment horizontal="center"/>
    </xf>
    <xf numFmtId="0" fontId="7" fillId="3" borderId="0" xfId="0" applyFont="1" applyFill="1" applyAlignment="1">
      <alignment horizontal="center" vertical="center"/>
    </xf>
    <xf numFmtId="16" fontId="6" fillId="2" borderId="0" xfId="0" applyNumberFormat="1" applyFont="1" applyFill="1" applyAlignment="1">
      <alignment horizontal="center"/>
    </xf>
    <xf numFmtId="164" fontId="0" fillId="0" borderId="0" xfId="0" applyNumberFormat="1"/>
    <xf numFmtId="0" fontId="9" fillId="3" borderId="0" xfId="4" applyBorder="1" applyProtection="1"/>
    <xf numFmtId="0" fontId="0" fillId="5" borderId="0" xfId="0" applyFill="1"/>
    <xf numFmtId="165" fontId="0" fillId="0" borderId="0" xfId="0" applyNumberFormat="1"/>
    <xf numFmtId="2" fontId="0" fillId="0" borderId="0" xfId="0" applyNumberFormat="1"/>
    <xf numFmtId="2" fontId="0" fillId="7" borderId="0" xfId="0" applyNumberFormat="1" applyFill="1"/>
    <xf numFmtId="0" fontId="0" fillId="5" borderId="0" xfId="0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0" borderId="3" xfId="0" applyBorder="1"/>
    <xf numFmtId="0" fontId="0" fillId="9" borderId="0" xfId="0" applyFill="1"/>
    <xf numFmtId="0" fontId="10" fillId="0" borderId="0" xfId="0" applyFont="1"/>
    <xf numFmtId="0" fontId="9" fillId="3" borderId="0" xfId="4"/>
    <xf numFmtId="0" fontId="9" fillId="0" borderId="0" xfId="4" applyFill="1"/>
    <xf numFmtId="165" fontId="12" fillId="10" borderId="0" xfId="0" applyNumberFormat="1" applyFont="1" applyFill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</cellXfs>
  <cellStyles count="5">
    <cellStyle name="Excel Built-in Bad" xfId="3" xr:uid="{00000000-0005-0000-0000-000008000000}"/>
    <cellStyle name="Excel Built-in Good" xfId="4" xr:uid="{00000000-0005-0000-0000-000009000000}"/>
    <cellStyle name="Excel Built-in Good 1" xfId="2" xr:uid="{00000000-0005-0000-0000-000007000000}"/>
    <cellStyle name="Excel Built-in Neutral" xfId="1" xr:uid="{00000000-0005-0000-0000-000006000000}"/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  <dxf>
      <font>
        <sz val="12"/>
        <color rgb="FF006100"/>
        <name val="Calibri"/>
        <family val="2"/>
      </font>
      <fill>
        <patternFill>
          <bgColor rgb="FFC6EFCE"/>
        </patternFill>
      </fill>
    </dxf>
    <dxf>
      <font>
        <sz val="12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E007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5B9BD5"/>
      <rgbColor rgb="FFB2B2B2"/>
      <rgbColor rgb="FF993366"/>
      <rgbColor rgb="FFFFFFCC"/>
      <rgbColor rgb="FFCCFFFF"/>
      <rgbColor rgb="FF660066"/>
      <rgbColor rgb="FFFF6D6D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7CE"/>
      <rgbColor rgb="FF4472C4"/>
      <rgbColor rgb="FF33CCCC"/>
      <rgbColor rgb="FF99CC00"/>
      <rgbColor rgb="FFFFC000"/>
      <rgbColor rgb="FFBF9000"/>
      <rgbColor rgb="FFED7D31"/>
      <rgbColor rgb="FF59595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Calib_temp!$B$4:$B$18</c:f>
              <c:numCache>
                <c:formatCode>General</c:formatCode>
                <c:ptCount val="15"/>
                <c:pt idx="0">
                  <c:v>1.02</c:v>
                </c:pt>
                <c:pt idx="1">
                  <c:v>0.62</c:v>
                </c:pt>
                <c:pt idx="2" formatCode="0.00">
                  <c:v>0.18</c:v>
                </c:pt>
                <c:pt idx="3" formatCode="0.00">
                  <c:v>-0.35</c:v>
                </c:pt>
                <c:pt idx="4" formatCode="0.00">
                  <c:v>-1.66</c:v>
                </c:pt>
                <c:pt idx="5" formatCode="0.00">
                  <c:v>-2.38</c:v>
                </c:pt>
                <c:pt idx="6" formatCode="0.00">
                  <c:v>-2.93</c:v>
                </c:pt>
                <c:pt idx="7" formatCode="0.00">
                  <c:v>-3.88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5-49CE-8430-E2B8CA0BC005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Calib_temp!$C$4:$C$18</c:f>
              <c:numCache>
                <c:formatCode>General</c:formatCode>
                <c:ptCount val="15"/>
                <c:pt idx="0">
                  <c:v>0.54</c:v>
                </c:pt>
                <c:pt idx="1">
                  <c:v>0.14000000000000001</c:v>
                </c:pt>
                <c:pt idx="2" formatCode="0.00">
                  <c:v>-0.26</c:v>
                </c:pt>
                <c:pt idx="3" formatCode="0.00">
                  <c:v>-0.73</c:v>
                </c:pt>
                <c:pt idx="4" formatCode="0.00">
                  <c:v>-1.93</c:v>
                </c:pt>
                <c:pt idx="5" formatCode="0.00">
                  <c:v>-2.56</c:v>
                </c:pt>
                <c:pt idx="6" formatCode="0.00">
                  <c:v>-3.07</c:v>
                </c:pt>
                <c:pt idx="7" formatCode="0.00">
                  <c:v>-3.95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5-49CE-8430-E2B8CA0BC005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Calib_temp!$A$4:$A$18</c:f>
              <c:numCache>
                <c:formatCode>0.0</c:formatCode>
                <c:ptCount val="15"/>
                <c:pt idx="0" formatCode="General">
                  <c:v>12.8</c:v>
                </c:pt>
                <c:pt idx="1">
                  <c:v>14.6</c:v>
                </c:pt>
                <c:pt idx="2">
                  <c:v>16.2</c:v>
                </c:pt>
                <c:pt idx="3">
                  <c:v>18.7</c:v>
                </c:pt>
                <c:pt idx="4">
                  <c:v>26.8</c:v>
                </c:pt>
                <c:pt idx="5">
                  <c:v>32.9</c:v>
                </c:pt>
                <c:pt idx="6">
                  <c:v>39.6</c:v>
                </c:pt>
                <c:pt idx="7">
                  <c:v>55.7</c:v>
                </c:pt>
              </c:numCache>
            </c:numRef>
          </c:xVal>
          <c:yVal>
            <c:numRef>
              <c:f>Calib_temp!$D$4:$D$18</c:f>
              <c:numCache>
                <c:formatCode>General</c:formatCode>
                <c:ptCount val="15"/>
                <c:pt idx="0">
                  <c:v>0.53</c:v>
                </c:pt>
                <c:pt idx="1">
                  <c:v>0.17</c:v>
                </c:pt>
                <c:pt idx="2" formatCode="0.00">
                  <c:v>-0.24</c:v>
                </c:pt>
                <c:pt idx="3" formatCode="0.00">
                  <c:v>-0.71</c:v>
                </c:pt>
                <c:pt idx="4" formatCode="0.00">
                  <c:v>-1.94</c:v>
                </c:pt>
                <c:pt idx="5" formatCode="0.00">
                  <c:v>-2.57</c:v>
                </c:pt>
                <c:pt idx="6" formatCode="0.00">
                  <c:v>-3.1</c:v>
                </c:pt>
                <c:pt idx="7" formatCode="0.00">
                  <c:v>-3.97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E5-49CE-8430-E2B8CA0B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1569"/>
        <c:axId val="74463958"/>
      </c:scatterChart>
      <c:valAx>
        <c:axId val="744015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463958"/>
        <c:crosses val="autoZero"/>
        <c:crossBetween val="midCat"/>
      </c:valAx>
      <c:valAx>
        <c:axId val="74463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40156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n°3'!$A$2:$A$25</c:f>
              <c:numCache>
                <c:formatCode>General</c:formatCode>
                <c:ptCount val="24"/>
                <c:pt idx="0">
                  <c:v>2.4</c:v>
                </c:pt>
                <c:pt idx="1">
                  <c:v>7.3</c:v>
                </c:pt>
                <c:pt idx="2">
                  <c:v>15.7</c:v>
                </c:pt>
                <c:pt idx="3">
                  <c:v>19.2</c:v>
                </c:pt>
                <c:pt idx="4">
                  <c:v>35.799999999999997</c:v>
                </c:pt>
                <c:pt idx="5">
                  <c:v>45.5</c:v>
                </c:pt>
              </c:numCache>
            </c:numRef>
          </c:xVal>
          <c:yVal>
            <c:numRef>
              <c:f>'STRAT n°3'!$B$2:$B$25</c:f>
              <c:numCache>
                <c:formatCode>General</c:formatCode>
                <c:ptCount val="24"/>
                <c:pt idx="0">
                  <c:v>44.9</c:v>
                </c:pt>
                <c:pt idx="1">
                  <c:v>42.9</c:v>
                </c:pt>
                <c:pt idx="2">
                  <c:v>38.299999999999997</c:v>
                </c:pt>
                <c:pt idx="3" formatCode="0.0">
                  <c:v>36.6</c:v>
                </c:pt>
                <c:pt idx="4">
                  <c:v>26.9</c:v>
                </c:pt>
                <c:pt idx="5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5-4E7E-8DE9-8F3FA345A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3830"/>
        <c:axId val="71924986"/>
      </c:scatterChart>
      <c:valAx>
        <c:axId val="426038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1924986"/>
        <c:crosses val="autoZero"/>
        <c:crossBetween val="midCat"/>
      </c:valAx>
      <c:valAx>
        <c:axId val="71924986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26038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n°4'!$A$2:$A$25</c:f>
              <c:numCache>
                <c:formatCode>General</c:formatCode>
                <c:ptCount val="24"/>
                <c:pt idx="0">
                  <c:v>1.9</c:v>
                </c:pt>
                <c:pt idx="1">
                  <c:v>10.8</c:v>
                </c:pt>
                <c:pt idx="2">
                  <c:v>31.4</c:v>
                </c:pt>
                <c:pt idx="3">
                  <c:v>42.8</c:v>
                </c:pt>
                <c:pt idx="4">
                  <c:v>48</c:v>
                </c:pt>
              </c:numCache>
            </c:numRef>
          </c:xVal>
          <c:yVal>
            <c:numRef>
              <c:f>'STRAT n°4'!$B$2:$B$25</c:f>
              <c:numCache>
                <c:formatCode>General</c:formatCode>
                <c:ptCount val="24"/>
                <c:pt idx="0">
                  <c:v>43.1</c:v>
                </c:pt>
                <c:pt idx="1">
                  <c:v>39.4</c:v>
                </c:pt>
                <c:pt idx="2">
                  <c:v>28.9</c:v>
                </c:pt>
                <c:pt idx="3" formatCode="0.0">
                  <c:v>22.6</c:v>
                </c:pt>
                <c:pt idx="4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F-419C-9FE2-36F4AAC3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7230"/>
        <c:axId val="92475171"/>
      </c:scatterChart>
      <c:valAx>
        <c:axId val="35687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75171"/>
        <c:crosses val="autoZero"/>
        <c:crossBetween val="midCat"/>
      </c:valAx>
      <c:valAx>
        <c:axId val="92475171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56872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Calib_temp!$B$39:$B$53</c:f>
              <c:numCache>
                <c:formatCode>0.00</c:formatCode>
                <c:ptCount val="15"/>
                <c:pt idx="0">
                  <c:v>3.38</c:v>
                </c:pt>
                <c:pt idx="1">
                  <c:v>1.8</c:v>
                </c:pt>
                <c:pt idx="2">
                  <c:v>0.48</c:v>
                </c:pt>
                <c:pt idx="3">
                  <c:v>-0.25</c:v>
                </c:pt>
                <c:pt idx="4">
                  <c:v>-0.68</c:v>
                </c:pt>
                <c:pt idx="5">
                  <c:v>-1.27</c:v>
                </c:pt>
                <c:pt idx="6">
                  <c:v>-1.88</c:v>
                </c:pt>
                <c:pt idx="7">
                  <c:v>-2.65</c:v>
                </c:pt>
                <c:pt idx="8">
                  <c:v>-3.3</c:v>
                </c:pt>
                <c:pt idx="9">
                  <c:v>-3.86</c:v>
                </c:pt>
                <c:pt idx="10">
                  <c:v>-4.0999999999999996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C-4334-97A4-9965E835ECE8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Calib_temp!$C$39:$C$53</c:f>
              <c:numCache>
                <c:formatCode>0.00</c:formatCode>
                <c:ptCount val="15"/>
                <c:pt idx="0">
                  <c:v>2.67</c:v>
                </c:pt>
                <c:pt idx="1">
                  <c:v>1.24</c:v>
                </c:pt>
                <c:pt idx="2">
                  <c:v>0.03</c:v>
                </c:pt>
                <c:pt idx="3">
                  <c:v>-0.65</c:v>
                </c:pt>
                <c:pt idx="4">
                  <c:v>-1.04</c:v>
                </c:pt>
                <c:pt idx="5">
                  <c:v>-1.59</c:v>
                </c:pt>
                <c:pt idx="6">
                  <c:v>-2.15</c:v>
                </c:pt>
                <c:pt idx="7">
                  <c:v>-2.83</c:v>
                </c:pt>
                <c:pt idx="8">
                  <c:v>-3.42</c:v>
                </c:pt>
                <c:pt idx="9">
                  <c:v>-3.92</c:v>
                </c:pt>
                <c:pt idx="10">
                  <c:v>-4.1500000000000004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C-4334-97A4-9965E835ECE8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Calib_temp!$A$39:$A$53</c:f>
              <c:numCache>
                <c:formatCode>General</c:formatCode>
                <c:ptCount val="15"/>
                <c:pt idx="0">
                  <c:v>5.3</c:v>
                </c:pt>
                <c:pt idx="1">
                  <c:v>9.6999999999999993</c:v>
                </c:pt>
                <c:pt idx="2">
                  <c:v>14.5</c:v>
                </c:pt>
                <c:pt idx="3">
                  <c:v>18.100000000000001</c:v>
                </c:pt>
                <c:pt idx="4">
                  <c:v>20.9</c:v>
                </c:pt>
                <c:pt idx="5" formatCode="0.0">
                  <c:v>25</c:v>
                </c:pt>
                <c:pt idx="6">
                  <c:v>28.6</c:v>
                </c:pt>
                <c:pt idx="7">
                  <c:v>35.700000000000003</c:v>
                </c:pt>
                <c:pt idx="8">
                  <c:v>45.1</c:v>
                </c:pt>
                <c:pt idx="9">
                  <c:v>56.2</c:v>
                </c:pt>
                <c:pt idx="10">
                  <c:v>62.3</c:v>
                </c:pt>
              </c:numCache>
            </c:numRef>
          </c:xVal>
          <c:yVal>
            <c:numRef>
              <c:f>Calib_temp!$D$39:$D$53</c:f>
              <c:numCache>
                <c:formatCode>0.00</c:formatCode>
                <c:ptCount val="15"/>
                <c:pt idx="0">
                  <c:v>2.68</c:v>
                </c:pt>
                <c:pt idx="1">
                  <c:v>1.24</c:v>
                </c:pt>
                <c:pt idx="2">
                  <c:v>0.05</c:v>
                </c:pt>
                <c:pt idx="3">
                  <c:v>-0.64</c:v>
                </c:pt>
                <c:pt idx="4">
                  <c:v>-1.03</c:v>
                </c:pt>
                <c:pt idx="5">
                  <c:v>-1.6</c:v>
                </c:pt>
                <c:pt idx="6">
                  <c:v>-2.14</c:v>
                </c:pt>
                <c:pt idx="7">
                  <c:v>-2.84</c:v>
                </c:pt>
                <c:pt idx="8">
                  <c:v>-3.42</c:v>
                </c:pt>
                <c:pt idx="9">
                  <c:v>-3.94</c:v>
                </c:pt>
                <c:pt idx="10">
                  <c:v>-4.17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C-4334-97A4-9965E835ECE8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Calib_temp!$A$40:$A$53</c:f>
              <c:numCache>
                <c:formatCode>General</c:formatCode>
                <c:ptCount val="14"/>
                <c:pt idx="0">
                  <c:v>9.6999999999999993</c:v>
                </c:pt>
                <c:pt idx="1">
                  <c:v>14.5</c:v>
                </c:pt>
                <c:pt idx="2">
                  <c:v>18.100000000000001</c:v>
                </c:pt>
                <c:pt idx="3">
                  <c:v>20.9</c:v>
                </c:pt>
                <c:pt idx="4" formatCode="0.0">
                  <c:v>25</c:v>
                </c:pt>
                <c:pt idx="5">
                  <c:v>28.6</c:v>
                </c:pt>
                <c:pt idx="6">
                  <c:v>35.700000000000003</c:v>
                </c:pt>
                <c:pt idx="7">
                  <c:v>45.1</c:v>
                </c:pt>
                <c:pt idx="8">
                  <c:v>56.2</c:v>
                </c:pt>
                <c:pt idx="9">
                  <c:v>62.3</c:v>
                </c:pt>
              </c:numCache>
            </c:numRef>
          </c:xVal>
          <c:yVal>
            <c:numRef>
              <c:f>Calib_temp!$E$40:$E$53</c:f>
              <c:numCache>
                <c:formatCode>0.00</c:formatCode>
                <c:ptCount val="14"/>
                <c:pt idx="0">
                  <c:v>0.93</c:v>
                </c:pt>
                <c:pt idx="1">
                  <c:v>0.9</c:v>
                </c:pt>
                <c:pt idx="2">
                  <c:v>0.86</c:v>
                </c:pt>
                <c:pt idx="3">
                  <c:v>0.75</c:v>
                </c:pt>
                <c:pt idx="4">
                  <c:v>0.74</c:v>
                </c:pt>
                <c:pt idx="5">
                  <c:v>0.75</c:v>
                </c:pt>
                <c:pt idx="6">
                  <c:v>0.69</c:v>
                </c:pt>
                <c:pt idx="7">
                  <c:v>0.5</c:v>
                </c:pt>
                <c:pt idx="8">
                  <c:v>0.33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C-4334-97A4-9965E835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9184"/>
        <c:axId val="57748342"/>
      </c:scatterChart>
      <c:valAx>
        <c:axId val="740591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7748342"/>
        <c:crosses val="autoZero"/>
        <c:crossBetween val="midCat"/>
      </c:valAx>
      <c:valAx>
        <c:axId val="57748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405918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Calib_temp!$A$40:$A$53</c:f>
              <c:numCache>
                <c:formatCode>General</c:formatCode>
                <c:ptCount val="14"/>
                <c:pt idx="0">
                  <c:v>9.6999999999999993</c:v>
                </c:pt>
                <c:pt idx="1">
                  <c:v>14.5</c:v>
                </c:pt>
                <c:pt idx="2">
                  <c:v>18.100000000000001</c:v>
                </c:pt>
                <c:pt idx="3">
                  <c:v>20.9</c:v>
                </c:pt>
                <c:pt idx="4" formatCode="0.0">
                  <c:v>25</c:v>
                </c:pt>
                <c:pt idx="5">
                  <c:v>28.6</c:v>
                </c:pt>
                <c:pt idx="6">
                  <c:v>35.700000000000003</c:v>
                </c:pt>
                <c:pt idx="7">
                  <c:v>45.1</c:v>
                </c:pt>
                <c:pt idx="8">
                  <c:v>56.2</c:v>
                </c:pt>
                <c:pt idx="9">
                  <c:v>62.3</c:v>
                </c:pt>
              </c:numCache>
            </c:numRef>
          </c:xVal>
          <c:yVal>
            <c:numRef>
              <c:f>Calib_temp!$E$40:$E$53</c:f>
              <c:numCache>
                <c:formatCode>0.00</c:formatCode>
                <c:ptCount val="14"/>
                <c:pt idx="0">
                  <c:v>0.93</c:v>
                </c:pt>
                <c:pt idx="1">
                  <c:v>0.9</c:v>
                </c:pt>
                <c:pt idx="2">
                  <c:v>0.86</c:v>
                </c:pt>
                <c:pt idx="3">
                  <c:v>0.75</c:v>
                </c:pt>
                <c:pt idx="4">
                  <c:v>0.74</c:v>
                </c:pt>
                <c:pt idx="5">
                  <c:v>0.75</c:v>
                </c:pt>
                <c:pt idx="6">
                  <c:v>0.69</c:v>
                </c:pt>
                <c:pt idx="7">
                  <c:v>0.5</c:v>
                </c:pt>
                <c:pt idx="8">
                  <c:v>0.33</c:v>
                </c:pt>
                <c:pt idx="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4F6A-A016-351AE7FC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3354"/>
        <c:axId val="81098978"/>
      </c:scatterChart>
      <c:valAx>
        <c:axId val="94343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1098978"/>
        <c:crosses val="autoZero"/>
        <c:crossBetween val="midCat"/>
      </c:valAx>
      <c:valAx>
        <c:axId val="810989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34335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Calib_temp!$B$81:$B$87</c:f>
              <c:numCache>
                <c:formatCode>General</c:formatCode>
                <c:ptCount val="7"/>
                <c:pt idx="0">
                  <c:v>-0.63</c:v>
                </c:pt>
                <c:pt idx="1">
                  <c:v>-1.08</c:v>
                </c:pt>
                <c:pt idx="2">
                  <c:v>-1.39</c:v>
                </c:pt>
                <c:pt idx="3">
                  <c:v>-1.78</c:v>
                </c:pt>
                <c:pt idx="4">
                  <c:v>-2.63</c:v>
                </c:pt>
                <c:pt idx="5">
                  <c:v>-3.16</c:v>
                </c:pt>
                <c:pt idx="6">
                  <c:v>-3.79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B42-8C52-70EA403F873E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Calib_temp!$C$81:$C$87</c:f>
              <c:numCache>
                <c:formatCode>General</c:formatCode>
                <c:ptCount val="7"/>
                <c:pt idx="0">
                  <c:v>-1.01</c:v>
                </c:pt>
                <c:pt idx="1">
                  <c:v>-1.38</c:v>
                </c:pt>
                <c:pt idx="2">
                  <c:v>-1.67</c:v>
                </c:pt>
                <c:pt idx="3">
                  <c:v>-2.0499999999999998</c:v>
                </c:pt>
                <c:pt idx="4">
                  <c:v>-2.82</c:v>
                </c:pt>
                <c:pt idx="5">
                  <c:v>-3.26</c:v>
                </c:pt>
                <c:pt idx="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B42-8C52-70EA403F873E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95526596639636E-2"/>
                  <c:y val="-1.2087946507605843E-2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Calib_temp!$D$81:$D$87</c:f>
              <c:numCache>
                <c:formatCode>General</c:formatCode>
                <c:ptCount val="7"/>
                <c:pt idx="0">
                  <c:v>-1.01</c:v>
                </c:pt>
                <c:pt idx="1">
                  <c:v>-1.39</c:v>
                </c:pt>
                <c:pt idx="2">
                  <c:v>-1.63</c:v>
                </c:pt>
                <c:pt idx="3">
                  <c:v>-2.08</c:v>
                </c:pt>
                <c:pt idx="4">
                  <c:v>-2.83</c:v>
                </c:pt>
                <c:pt idx="5">
                  <c:v>-3.31</c:v>
                </c:pt>
                <c:pt idx="6" formatCode="0.00">
                  <c:v>-3.9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B42-8C52-70EA403F873E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558545193143439E-2"/>
                  <c:y val="-0.12456632757282347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Calib_temp!$E$81:$E$87</c:f>
              <c:numCache>
                <c:formatCode>General</c:formatCode>
                <c:ptCount val="7"/>
                <c:pt idx="0">
                  <c:v>1.31</c:v>
                </c:pt>
                <c:pt idx="1">
                  <c:v>1.18</c:v>
                </c:pt>
                <c:pt idx="2">
                  <c:v>1.0900000000000001</c:v>
                </c:pt>
                <c:pt idx="3">
                  <c:v>0.94</c:v>
                </c:pt>
                <c:pt idx="4">
                  <c:v>0.69</c:v>
                </c:pt>
                <c:pt idx="5">
                  <c:v>0.54</c:v>
                </c:pt>
                <c:pt idx="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B42-8C52-70EA403F873E}"/>
            </c:ext>
          </c:extLst>
        </c:ser>
        <c:ser>
          <c:idx val="4"/>
          <c:order val="4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891944025862431"/>
                  <c:y val="-0.13688237937655759"/>
                </c:manualLayout>
              </c:layout>
              <c:numFmt formatCode="General" sourceLinked="0"/>
            </c:trendlineLbl>
          </c:trendline>
          <c:x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xVal>
          <c:yVal>
            <c:numRef>
              <c:f>Calib_temp!$F$81:$F$87</c:f>
              <c:numCache>
                <c:formatCode>0.00</c:formatCode>
                <c:ptCount val="7"/>
                <c:pt idx="0" formatCode="General">
                  <c:v>1.22</c:v>
                </c:pt>
                <c:pt idx="1">
                  <c:v>1.1000000000000001</c:v>
                </c:pt>
                <c:pt idx="2" formatCode="General">
                  <c:v>1.01</c:v>
                </c:pt>
                <c:pt idx="3" formatCode="General">
                  <c:v>0.88</c:v>
                </c:pt>
                <c:pt idx="4" formatCode="General">
                  <c:v>0.65</c:v>
                </c:pt>
                <c:pt idx="5">
                  <c:v>0.5</c:v>
                </c:pt>
                <c:pt idx="6" formatCode="General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B42-8C52-70EA403F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716944404530756"/>
                  <c:y val="1.5874630605602538E-2"/>
                </c:manualLayout>
              </c:layout>
              <c:numFmt formatCode="General" sourceLinked="0"/>
            </c:trendlineLbl>
          </c:trendline>
          <c:xVal>
            <c:numRef>
              <c:f>Calib_temp!$E$81:$E$87</c:f>
              <c:numCache>
                <c:formatCode>General</c:formatCode>
                <c:ptCount val="7"/>
                <c:pt idx="0">
                  <c:v>1.31</c:v>
                </c:pt>
                <c:pt idx="1">
                  <c:v>1.18</c:v>
                </c:pt>
                <c:pt idx="2">
                  <c:v>1.0900000000000001</c:v>
                </c:pt>
                <c:pt idx="3">
                  <c:v>0.94</c:v>
                </c:pt>
                <c:pt idx="4">
                  <c:v>0.69</c:v>
                </c:pt>
                <c:pt idx="5">
                  <c:v>0.54</c:v>
                </c:pt>
                <c:pt idx="6">
                  <c:v>0.36</c:v>
                </c:pt>
              </c:numCache>
            </c:numRef>
          </c:xVal>
          <c:y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F6-4682-A9B4-9E3E368822C4}"/>
            </c:ext>
          </c:extLst>
        </c:ser>
        <c:ser>
          <c:idx val="4"/>
          <c:order val="1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1330820613147937E-2"/>
                  <c:y val="-0.32274216611512851"/>
                </c:manualLayout>
              </c:layout>
              <c:numFmt formatCode="General" sourceLinked="0"/>
            </c:trendlineLbl>
          </c:trendline>
          <c:xVal>
            <c:numRef>
              <c:f>Calib_temp!$F$81:$F$87</c:f>
              <c:numCache>
                <c:formatCode>0.00</c:formatCode>
                <c:ptCount val="7"/>
                <c:pt idx="0" formatCode="General">
                  <c:v>1.22</c:v>
                </c:pt>
                <c:pt idx="1">
                  <c:v>1.1000000000000001</c:v>
                </c:pt>
                <c:pt idx="2" formatCode="General">
                  <c:v>1.01</c:v>
                </c:pt>
                <c:pt idx="3" formatCode="General">
                  <c:v>0.88</c:v>
                </c:pt>
                <c:pt idx="4" formatCode="General">
                  <c:v>0.65</c:v>
                </c:pt>
                <c:pt idx="5">
                  <c:v>0.5</c:v>
                </c:pt>
                <c:pt idx="6" formatCode="General">
                  <c:v>0.32</c:v>
                </c:pt>
              </c:numCache>
            </c:numRef>
          </c:xVal>
          <c:yVal>
            <c:numRef>
              <c:f>Calib_temp!$A$81:$A$87</c:f>
              <c:numCache>
                <c:formatCode>General</c:formatCode>
                <c:ptCount val="7"/>
                <c:pt idx="0">
                  <c:v>20.399999999999999</c:v>
                </c:pt>
                <c:pt idx="1">
                  <c:v>23.1</c:v>
                </c:pt>
                <c:pt idx="2">
                  <c:v>25.3</c:v>
                </c:pt>
                <c:pt idx="3">
                  <c:v>28.3</c:v>
                </c:pt>
                <c:pt idx="4">
                  <c:v>36.1</c:v>
                </c:pt>
                <c:pt idx="5">
                  <c:v>42.3</c:v>
                </c:pt>
                <c:pt idx="6">
                  <c:v>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F6-4682-A9B4-9E3E36882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temperature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Calib_temp!$B$3</c:f>
              <c:strCache>
                <c:ptCount val="1"/>
                <c:pt idx="0">
                  <c:v>TCA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Calib_temp!$B$97:$B$108</c:f>
              <c:numCache>
                <c:formatCode>General</c:formatCode>
                <c:ptCount val="12"/>
                <c:pt idx="0">
                  <c:v>-0.52</c:v>
                </c:pt>
                <c:pt idx="1">
                  <c:v>-0.88</c:v>
                </c:pt>
                <c:pt idx="2">
                  <c:v>-1.18</c:v>
                </c:pt>
                <c:pt idx="3">
                  <c:v>-1.39</c:v>
                </c:pt>
                <c:pt idx="4">
                  <c:v>-1.61</c:v>
                </c:pt>
                <c:pt idx="5">
                  <c:v>-1.8</c:v>
                </c:pt>
                <c:pt idx="6">
                  <c:v>-1.99</c:v>
                </c:pt>
                <c:pt idx="7">
                  <c:v>-2.2799999999999998</c:v>
                </c:pt>
                <c:pt idx="8">
                  <c:v>-2.64</c:v>
                </c:pt>
                <c:pt idx="9">
                  <c:v>-2.95</c:v>
                </c:pt>
                <c:pt idx="10">
                  <c:v>-3.18</c:v>
                </c:pt>
                <c:pt idx="11">
                  <c:v>-3.41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9F-9808-A3FA662ED6CF}"/>
            </c:ext>
          </c:extLst>
        </c:ser>
        <c:ser>
          <c:idx val="1"/>
          <c:order val="1"/>
          <c:tx>
            <c:strRef>
              <c:f>Calib_temp!$C$3</c:f>
              <c:strCache>
                <c:ptCount val="1"/>
                <c:pt idx="0">
                  <c:v>TCB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Calib_temp!$C$97:$C$108</c:f>
              <c:numCache>
                <c:formatCode>General</c:formatCode>
                <c:ptCount val="12"/>
                <c:pt idx="0">
                  <c:v>-0.89</c:v>
                </c:pt>
                <c:pt idx="1">
                  <c:v>-1.21</c:v>
                </c:pt>
                <c:pt idx="2">
                  <c:v>-1.48</c:v>
                </c:pt>
                <c:pt idx="3">
                  <c:v>-1.68</c:v>
                </c:pt>
                <c:pt idx="4">
                  <c:v>-1.87</c:v>
                </c:pt>
                <c:pt idx="5">
                  <c:v>-2.0499999999999998</c:v>
                </c:pt>
                <c:pt idx="6">
                  <c:v>-2.2200000000000002</c:v>
                </c:pt>
                <c:pt idx="7">
                  <c:v>-2.4700000000000002</c:v>
                </c:pt>
                <c:pt idx="8">
                  <c:v>-2.81</c:v>
                </c:pt>
                <c:pt idx="9">
                  <c:v>-3.09</c:v>
                </c:pt>
                <c:pt idx="10">
                  <c:v>-3.29</c:v>
                </c:pt>
                <c:pt idx="11">
                  <c:v>-3.51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62-439F-9808-A3FA662ED6CF}"/>
            </c:ext>
          </c:extLst>
        </c:ser>
        <c:ser>
          <c:idx val="2"/>
          <c:order val="2"/>
          <c:tx>
            <c:strRef>
              <c:f>Calib_temp!$D$3</c:f>
              <c:strCache>
                <c:ptCount val="1"/>
                <c:pt idx="0">
                  <c:v>TCC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95526596639636E-2"/>
                  <c:y val="-1.2087946507605843E-2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Calib_temp!$D$97:$D$108</c:f>
              <c:numCache>
                <c:formatCode>General</c:formatCode>
                <c:ptCount val="12"/>
                <c:pt idx="0">
                  <c:v>-0.88</c:v>
                </c:pt>
                <c:pt idx="1">
                  <c:v>-1.2</c:v>
                </c:pt>
                <c:pt idx="2">
                  <c:v>-1.48</c:v>
                </c:pt>
                <c:pt idx="3">
                  <c:v>-1.68</c:v>
                </c:pt>
                <c:pt idx="4">
                  <c:v>-1.87</c:v>
                </c:pt>
                <c:pt idx="5">
                  <c:v>-2.04</c:v>
                </c:pt>
                <c:pt idx="6">
                  <c:v>-2.21</c:v>
                </c:pt>
                <c:pt idx="7">
                  <c:v>-2.78</c:v>
                </c:pt>
                <c:pt idx="8">
                  <c:v>-2.81</c:v>
                </c:pt>
                <c:pt idx="9">
                  <c:v>-3.08</c:v>
                </c:pt>
                <c:pt idx="10">
                  <c:v>-3.3</c:v>
                </c:pt>
                <c:pt idx="11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62-439F-9808-A3FA662ED6CF}"/>
            </c:ext>
          </c:extLst>
        </c:ser>
        <c:ser>
          <c:idx val="3"/>
          <c:order val="3"/>
          <c:tx>
            <c:strRef>
              <c:f>Calib_temp!$E$38</c:f>
              <c:strCache>
                <c:ptCount val="1"/>
                <c:pt idx="0">
                  <c:v>T_sonde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FFC000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558545193143439E-2"/>
                  <c:y val="-0.12456632757282347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Calib_temp!$E$97:$E$108</c:f>
              <c:numCache>
                <c:formatCode>General</c:formatCode>
                <c:ptCount val="12"/>
                <c:pt idx="0">
                  <c:v>1.34</c:v>
                </c:pt>
                <c:pt idx="1">
                  <c:v>1.23</c:v>
                </c:pt>
                <c:pt idx="2">
                  <c:v>1.1399999999999999</c:v>
                </c:pt>
                <c:pt idx="3">
                  <c:v>1.07</c:v>
                </c:pt>
                <c:pt idx="4">
                  <c:v>1.01</c:v>
                </c:pt>
                <c:pt idx="5">
                  <c:v>0.95</c:v>
                </c:pt>
                <c:pt idx="6">
                  <c:v>0.89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  <c:pt idx="10">
                  <c:v>0.53</c:v>
                </c:pt>
                <c:pt idx="11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62-439F-9808-A3FA662ED6CF}"/>
            </c:ext>
          </c:extLst>
        </c:ser>
        <c:ser>
          <c:idx val="4"/>
          <c:order val="4"/>
          <c:tx>
            <c:strRef>
              <c:f>Calib_temp!$F$80</c:f>
              <c:strCache>
                <c:ptCount val="1"/>
                <c:pt idx="0">
                  <c:v>T_plaque (V)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891944025862431"/>
                  <c:y val="-0.13688237937655759"/>
                </c:manualLayout>
              </c:layout>
              <c:numFmt formatCode="General" sourceLinked="0"/>
            </c:trendlineLbl>
          </c:trendline>
          <c:xVal>
            <c:numRef>
              <c:f>Calib_temp!$A$97:$A$108</c:f>
              <c:numCache>
                <c:formatCode>General</c:formatCode>
                <c:ptCount val="12"/>
                <c:pt idx="0">
                  <c:v>20.100000000000001</c:v>
                </c:pt>
                <c:pt idx="1">
                  <c:v>21.9</c:v>
                </c:pt>
                <c:pt idx="2">
                  <c:v>23.8</c:v>
                </c:pt>
                <c:pt idx="3">
                  <c:v>25.2</c:v>
                </c:pt>
                <c:pt idx="4">
                  <c:v>26.7</c:v>
                </c:pt>
                <c:pt idx="5">
                  <c:v>28.1</c:v>
                </c:pt>
                <c:pt idx="6">
                  <c:v>29.6</c:v>
                </c:pt>
                <c:pt idx="7">
                  <c:v>32.200000000000003</c:v>
                </c:pt>
                <c:pt idx="8">
                  <c:v>35.799999999999997</c:v>
                </c:pt>
                <c:pt idx="9">
                  <c:v>39.6</c:v>
                </c:pt>
                <c:pt idx="10">
                  <c:v>42.8</c:v>
                </c:pt>
                <c:pt idx="11">
                  <c:v>46.2</c:v>
                </c:pt>
              </c:numCache>
            </c:numRef>
          </c:xVal>
          <c:yVal>
            <c:numRef>
              <c:f>Calib_temp!$F$97:$F$108</c:f>
              <c:numCache>
                <c:formatCode>General</c:formatCode>
                <c:ptCount val="12"/>
                <c:pt idx="0">
                  <c:v>1.24</c:v>
                </c:pt>
                <c:pt idx="1">
                  <c:v>1.1399999999999999</c:v>
                </c:pt>
                <c:pt idx="2">
                  <c:v>1.07</c:v>
                </c:pt>
                <c:pt idx="3">
                  <c:v>1.01</c:v>
                </c:pt>
                <c:pt idx="4">
                  <c:v>0.95</c:v>
                </c:pt>
                <c:pt idx="5">
                  <c:v>0.9</c:v>
                </c:pt>
                <c:pt idx="6">
                  <c:v>0.84</c:v>
                </c:pt>
                <c:pt idx="7">
                  <c:v>0.76</c:v>
                </c:pt>
                <c:pt idx="8">
                  <c:v>0.66</c:v>
                </c:pt>
                <c:pt idx="9">
                  <c:v>0.56999999999999995</c:v>
                </c:pt>
                <c:pt idx="10">
                  <c:v>0.5</c:v>
                </c:pt>
                <c:pt idx="1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62-439F-9808-A3FA662E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7174"/>
        <c:axId val="66004688"/>
      </c:scatterChart>
      <c:valAx>
        <c:axId val="92457174"/>
        <c:scaling>
          <c:orientation val="minMax"/>
          <c:min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04688"/>
        <c:crosses val="autoZero"/>
        <c:crossBetween val="midCat"/>
      </c:valAx>
      <c:valAx>
        <c:axId val="6600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Tension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2457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Calib_Sel!$C$7</c:f>
              <c:strCache>
                <c:ptCount val="1"/>
                <c:pt idx="0">
                  <c:v>C_CA(V)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510349425684664E-2"/>
                  <c:y val="-3.94115011089897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0.6629x - 666.35</a:t>
                    </a:r>
                    <a:br>
                      <a:rPr lang="en-US" baseline="0"/>
                    </a:br>
                    <a:r>
                      <a:rPr lang="en-US" baseline="0"/>
                      <a:t>R² = 0.995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CA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Calib_Sel!$C$8:$C$11</c:f>
              <c:numCache>
                <c:formatCode>General</c:formatCode>
                <c:ptCount val="4"/>
                <c:pt idx="0">
                  <c:v>-4.92</c:v>
                </c:pt>
                <c:pt idx="1">
                  <c:v>-1</c:v>
                </c:pt>
                <c:pt idx="2">
                  <c:v>1.47</c:v>
                </c:pt>
                <c:pt idx="3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B-4986-B228-63207573275A}"/>
            </c:ext>
          </c:extLst>
        </c:ser>
        <c:ser>
          <c:idx val="1"/>
          <c:order val="1"/>
          <c:tx>
            <c:strRef>
              <c:f>Calib_Sel!$E$7</c:f>
              <c:strCache>
                <c:ptCount val="1"/>
                <c:pt idx="0">
                  <c:v>C_CB(V)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739071033118642E-2"/>
                  <c:y val="0.14043478424594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0.6474x - 650.99</a:t>
                    </a:r>
                    <a:br>
                      <a:rPr lang="en-US" baseline="0"/>
                    </a:br>
                    <a:r>
                      <a:rPr lang="en-US" baseline="0"/>
                      <a:t>R² = 0.9945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CB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Calib_Sel!$E$8:$E$11</c:f>
              <c:numCache>
                <c:formatCode>General</c:formatCode>
                <c:ptCount val="4"/>
                <c:pt idx="0">
                  <c:v>-5.04</c:v>
                </c:pt>
                <c:pt idx="1">
                  <c:v>-1.22</c:v>
                </c:pt>
                <c:pt idx="2">
                  <c:v>1.23</c:v>
                </c:pt>
                <c:pt idx="3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9B-4986-B228-63207573275A}"/>
            </c:ext>
          </c:extLst>
        </c:ser>
        <c:ser>
          <c:idx val="2"/>
          <c:order val="2"/>
          <c:tx>
            <c:strRef>
              <c:f>Calib_Sel!$G$7</c:f>
              <c:strCache>
                <c:ptCount val="1"/>
                <c:pt idx="0">
                  <c:v>C_CC(V)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02260987715126"/>
                  <c:y val="0.347864149692909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0.5906x - 594.39</a:t>
                    </a:r>
                    <a:br>
                      <a:rPr lang="en-US" baseline="0"/>
                    </a:br>
                    <a:r>
                      <a:rPr lang="en-US" baseline="0"/>
                      <a:t>R² = 0.9974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Calib_Sel!$A$8:$A$11</c:f>
              <c:numCache>
                <c:formatCode>General</c:formatCode>
                <c:ptCount val="4"/>
                <c:pt idx="0">
                  <c:v>998</c:v>
                </c:pt>
                <c:pt idx="1">
                  <c:v>1003.3</c:v>
                </c:pt>
                <c:pt idx="2">
                  <c:v>1007.2</c:v>
                </c:pt>
                <c:pt idx="3">
                  <c:v>1009.1</c:v>
                </c:pt>
              </c:numCache>
            </c:numRef>
          </c:xVal>
          <c:yVal>
            <c:numRef>
              <c:f>Calib_Sel!$G$8:$G$11</c:f>
              <c:numCache>
                <c:formatCode>General</c:formatCode>
                <c:ptCount val="4"/>
                <c:pt idx="0">
                  <c:v>-5.08</c:v>
                </c:pt>
                <c:pt idx="1">
                  <c:v>-1.78</c:v>
                </c:pt>
                <c:pt idx="2">
                  <c:v>0.57999999999999996</c:v>
                </c:pt>
                <c:pt idx="3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9B-4986-B228-63207573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35248"/>
        <c:axId val="1266811376"/>
      </c:scatterChart>
      <c:valAx>
        <c:axId val="11903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811376"/>
        <c:crosses val="autoZero"/>
        <c:crossBetween val="midCat"/>
      </c:valAx>
      <c:valAx>
        <c:axId val="1266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03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n°1'!$A$2:$A$25</c:f>
              <c:numCache>
                <c:formatCode>General</c:formatCode>
                <c:ptCount val="24"/>
                <c:pt idx="0">
                  <c:v>2.5</c:v>
                </c:pt>
                <c:pt idx="1">
                  <c:v>7.2</c:v>
                </c:pt>
                <c:pt idx="2">
                  <c:v>11.5</c:v>
                </c:pt>
                <c:pt idx="3">
                  <c:v>15.9</c:v>
                </c:pt>
                <c:pt idx="4">
                  <c:v>29.8</c:v>
                </c:pt>
                <c:pt idx="5">
                  <c:v>42.9</c:v>
                </c:pt>
                <c:pt idx="6">
                  <c:v>46.8</c:v>
                </c:pt>
                <c:pt idx="7">
                  <c:v>51</c:v>
                </c:pt>
                <c:pt idx="8">
                  <c:v>51.2</c:v>
                </c:pt>
              </c:numCache>
            </c:numRef>
          </c:xVal>
          <c:yVal>
            <c:numRef>
              <c:f>'STRAT n°1'!$B$2:$B$25</c:f>
              <c:numCache>
                <c:formatCode>General</c:formatCode>
                <c:ptCount val="24"/>
                <c:pt idx="0">
                  <c:v>34.799999999999997</c:v>
                </c:pt>
                <c:pt idx="1">
                  <c:v>33.6</c:v>
                </c:pt>
                <c:pt idx="2">
                  <c:v>32.200000000000003</c:v>
                </c:pt>
                <c:pt idx="3">
                  <c:v>30.6</c:v>
                </c:pt>
                <c:pt idx="4">
                  <c:v>25.5</c:v>
                </c:pt>
                <c:pt idx="5">
                  <c:v>20.8</c:v>
                </c:pt>
                <c:pt idx="6">
                  <c:v>19.399999999999999</c:v>
                </c:pt>
                <c:pt idx="7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D-4C5B-A3C3-D2064A23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031"/>
        <c:axId val="26216854"/>
      </c:scatterChart>
      <c:valAx>
        <c:axId val="272150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6216854"/>
        <c:crosses val="autoZero"/>
        <c:crossBetween val="midCat"/>
      </c:valAx>
      <c:valAx>
        <c:axId val="26216854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21503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'STRAT n°2'!$A$2:$A$25</c:f>
              <c:numCache>
                <c:formatCode>General</c:formatCode>
                <c:ptCount val="24"/>
                <c:pt idx="0">
                  <c:v>2.5</c:v>
                </c:pt>
                <c:pt idx="1">
                  <c:v>9.4</c:v>
                </c:pt>
                <c:pt idx="2">
                  <c:v>26.4</c:v>
                </c:pt>
                <c:pt idx="3">
                  <c:v>41.2</c:v>
                </c:pt>
                <c:pt idx="4">
                  <c:v>48.1</c:v>
                </c:pt>
                <c:pt idx="5">
                  <c:v>49.9</c:v>
                </c:pt>
                <c:pt idx="17">
                  <c:v>50</c:v>
                </c:pt>
              </c:numCache>
            </c:numRef>
          </c:xVal>
          <c:yVal>
            <c:numRef>
              <c:f>'STRAT n°2'!$B$2:$B$25</c:f>
              <c:numCache>
                <c:formatCode>General</c:formatCode>
                <c:ptCount val="24"/>
                <c:pt idx="0">
                  <c:v>43.4</c:v>
                </c:pt>
                <c:pt idx="1">
                  <c:v>40.200000000000003</c:v>
                </c:pt>
                <c:pt idx="2">
                  <c:v>30.8</c:v>
                </c:pt>
                <c:pt idx="3" formatCode="0.0">
                  <c:v>23.2</c:v>
                </c:pt>
                <c:pt idx="4">
                  <c:v>19</c:v>
                </c:pt>
                <c:pt idx="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5-4B64-9508-767EE19E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6365"/>
        <c:axId val="93406349"/>
      </c:scatterChart>
      <c:valAx>
        <c:axId val="876463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Hauteur (cm)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3406349"/>
        <c:crosses val="autoZero"/>
        <c:crossBetween val="midCat"/>
      </c:valAx>
      <c:valAx>
        <c:axId val="93406349"/>
        <c:scaling>
          <c:orientation val="minMax"/>
          <c:min val="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fr-F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Température (°C)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764636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214200</xdr:colOff>
      <xdr:row>0</xdr:row>
      <xdr:rowOff>114480</xdr:rowOff>
    </xdr:from>
    <xdr:to>
      <xdr:col>18</xdr:col>
      <xdr:colOff>304200</xdr:colOff>
      <xdr:row>33</xdr:row>
      <xdr:rowOff>142560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37</xdr:row>
      <xdr:rowOff>114480</xdr:rowOff>
    </xdr:from>
    <xdr:to>
      <xdr:col>19</xdr:col>
      <xdr:colOff>499680</xdr:colOff>
      <xdr:row>70</xdr:row>
      <xdr:rowOff>142560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38</xdr:row>
      <xdr:rowOff>0</xdr:rowOff>
    </xdr:from>
    <xdr:to>
      <xdr:col>34</xdr:col>
      <xdr:colOff>90000</xdr:colOff>
      <xdr:row>71</xdr:row>
      <xdr:rowOff>28080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730215</xdr:colOff>
      <xdr:row>74</xdr:row>
      <xdr:rowOff>114660</xdr:rowOff>
    </xdr:from>
    <xdr:to>
      <xdr:col>21</xdr:col>
      <xdr:colOff>799695</xdr:colOff>
      <xdr:row>111</xdr:row>
      <xdr:rowOff>56835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0</xdr:colOff>
      <xdr:row>79</xdr:row>
      <xdr:rowOff>0</xdr:rowOff>
    </xdr:from>
    <xdr:to>
      <xdr:col>38</xdr:col>
      <xdr:colOff>69480</xdr:colOff>
      <xdr:row>115</xdr:row>
      <xdr:rowOff>142200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AA8B5D-93C2-4516-B225-1C9EB14EA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0</xdr:colOff>
      <xdr:row>117</xdr:row>
      <xdr:rowOff>0</xdr:rowOff>
    </xdr:from>
    <xdr:to>
      <xdr:col>22</xdr:col>
      <xdr:colOff>69480</xdr:colOff>
      <xdr:row>153</xdr:row>
      <xdr:rowOff>142200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34AC17A-E000-4F02-B3AB-0D2A5901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1</xdr:row>
      <xdr:rowOff>19049</xdr:rowOff>
    </xdr:from>
    <xdr:to>
      <xdr:col>23</xdr:col>
      <xdr:colOff>323850</xdr:colOff>
      <xdr:row>34</xdr:row>
      <xdr:rowOff>19049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F15AE9-9333-4A94-AF71-45633597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6" name="Graphique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104760</xdr:colOff>
      <xdr:row>1</xdr:row>
      <xdr:rowOff>47520</xdr:rowOff>
    </xdr:from>
    <xdr:to>
      <xdr:col>20</xdr:col>
      <xdr:colOff>313920</xdr:colOff>
      <xdr:row>41</xdr:row>
      <xdr:rowOff>142560</xdr:rowOff>
    </xdr:to>
    <xdr:graphicFrame macro="">
      <xdr:nvGraphicFramePr>
        <xdr:cNvPr id="7" name="Graphiqu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B6:AB76" totalsRowShown="0">
  <autoFilter ref="B6:AB76" xr:uid="{00000000-0009-0000-0100-000001000000}"/>
  <tableColumns count="27">
    <tableColumn id="1" xr3:uid="{00000000-0010-0000-0000-000001000000}" name="EXP"/>
    <tableColumn id="2" xr3:uid="{00000000-0010-0000-0000-000002000000}" name="Filling"/>
    <tableColumn id="3" xr3:uid="{00000000-0010-0000-0000-000003000000}" name=" "/>
    <tableColumn id="4" xr3:uid="{00000000-0010-0000-0000-000004000000}" name="T_ini(s)"/>
    <tableColumn id="5" xr3:uid="{00000000-0010-0000-0000-000005000000}" name="T_final(s)"/>
    <tableColumn id="6" xr3:uid="{00000000-0010-0000-0000-000006000000}" name="D omega"/>
    <tableColumn id="7" xr3:uid="{00000000-0010-0000-0000-000007000000}" name="H(cm)"/>
    <tableColumn id="8" xr3:uid="{00000000-0010-0000-0000-000008000000}" name="T_cold(°C)"/>
    <tableColumn id="9" xr3:uid="{00000000-0010-0000-0000-000009000000}" name="T_hot(°C)"/>
    <tableColumn id="10" xr3:uid="{00000000-0010-0000-0000-00000A000000}" name="f"/>
    <tableColumn id="11" xr3:uid="{00000000-0010-0000-0000-00000B000000}" name="Drho/rho"/>
    <tableColumn id="12" xr3:uid="{00000000-0010-0000-0000-00000C000000}" name="N"/>
    <tableColumn id="13" xr3:uid="{00000000-0010-0000-0000-00000D000000}" name="R"/>
    <tableColumn id="14" xr3:uid="{00000000-0010-0000-0000-00000E000000}" name="sel"/>
    <tableColumn id="15" xr3:uid="{00000000-0010-0000-0000-00000F000000}" name="Colorant"/>
    <tableColumn id="16" xr3:uid="{00000000-0010-0000-0000-000010000000}" name="U(cm/s"/>
    <tableColumn id="17" xr3:uid="{00000000-0010-0000-0000-000011000000}" name="u*(cm/s)"/>
    <tableColumn id="18" xr3:uid="{00000000-0010-0000-0000-000012000000}" name="PIV/vert"/>
    <tableColumn id="19" xr3:uid="{00000000-0010-0000-0000-000013000000}" name="Advp (dist-m)"/>
    <tableColumn id="20" xr3:uid="{00000000-0010-0000-0000-000014000000}" name="Duration"/>
    <tableColumn id="21" xr3:uid="{00000000-0010-0000-0000-000015000000}" name="time Ek_turb_stationaire(s)"/>
    <tableColumn id="22" xr3:uid="{00000000-0010-0000-0000-000016000000}" name="Ek- layer (cm)"/>
    <tableColumn id="23" xr3:uid="{00000000-0010-0000-0000-000017000000}" name="d95 (cm)"/>
    <tableColumn id="24" xr3:uid="{00000000-0010-0000-0000-000018000000}" name="BL (cm)"/>
    <tableColumn id="25" xr3:uid="{00000000-0010-0000-0000-000019000000}" name="Ri "/>
    <tableColumn id="26" xr3:uid="{00000000-0010-0000-0000-00001A000000}" name="Ro "/>
    <tableColumn id="27" xr3:uid="{00000000-0010-0000-0000-00001B000000}" name="R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6:A75" totalsRowShown="0">
  <autoFilter ref="A6:A75" xr:uid="{00000000-0009-0000-0100-000002000000}"/>
  <tableColumns count="1">
    <tableColumn id="1" xr3:uid="{00000000-0010-0000-0100-000001000000}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9"/>
  <sheetViews>
    <sheetView tabSelected="1" topLeftCell="A14" zoomScale="86" zoomScaleNormal="130" workbookViewId="0">
      <selection activeCell="A27" sqref="A27"/>
    </sheetView>
  </sheetViews>
  <sheetFormatPr baseColWidth="10" defaultColWidth="10.5" defaultRowHeight="16" x14ac:dyDescent="0.2"/>
  <cols>
    <col min="1" max="1" width="10.83203125" bestFit="1" customWidth="1"/>
    <col min="3" max="3" width="17.83203125" customWidth="1"/>
    <col min="4" max="4" width="33.83203125" customWidth="1"/>
    <col min="5" max="5" width="13.5" customWidth="1"/>
    <col min="6" max="6" width="15.1640625" customWidth="1"/>
    <col min="7" max="7" width="10.6640625" bestFit="1" customWidth="1"/>
    <col min="8" max="8" width="29.6640625" customWidth="1"/>
    <col min="9" max="10" width="10.6640625" bestFit="1" customWidth="1"/>
    <col min="11" max="11" width="26" customWidth="1"/>
    <col min="12" max="13" width="26.83203125" customWidth="1"/>
    <col min="14" max="14" width="33.6640625" customWidth="1"/>
    <col min="15" max="15" width="12.1640625" customWidth="1"/>
    <col min="16" max="16" width="27.1640625" customWidth="1"/>
    <col min="17" max="17" width="27" customWidth="1"/>
    <col min="18" max="18" width="94.1640625" customWidth="1"/>
    <col min="19" max="19" width="9.1640625" customWidth="1"/>
    <col min="20" max="20" width="45.6640625" customWidth="1"/>
    <col min="21" max="21" width="43.1640625" customWidth="1"/>
    <col min="22" max="22" width="101.6640625" customWidth="1"/>
    <col min="25" max="25" width="108.33203125" customWidth="1"/>
  </cols>
  <sheetData>
    <row r="1" spans="1:21" x14ac:dyDescent="0.2">
      <c r="S1" t="s">
        <v>87</v>
      </c>
    </row>
    <row r="2" spans="1:21" x14ac:dyDescent="0.2">
      <c r="A2" t="s">
        <v>88</v>
      </c>
      <c r="B2" t="s">
        <v>10</v>
      </c>
      <c r="C2" t="s">
        <v>13</v>
      </c>
      <c r="D2" t="s">
        <v>89</v>
      </c>
      <c r="E2" s="2" t="s">
        <v>16</v>
      </c>
      <c r="F2" s="2" t="s">
        <v>17</v>
      </c>
      <c r="G2" s="2" t="s">
        <v>18</v>
      </c>
      <c r="H2" s="2" t="s">
        <v>90</v>
      </c>
      <c r="I2" s="2" t="s">
        <v>91</v>
      </c>
      <c r="J2" t="s">
        <v>92</v>
      </c>
      <c r="K2" t="s">
        <v>93</v>
      </c>
      <c r="L2" t="s">
        <v>94</v>
      </c>
      <c r="M2" t="s">
        <v>24</v>
      </c>
      <c r="N2" t="s">
        <v>95</v>
      </c>
      <c r="O2" t="s">
        <v>96</v>
      </c>
      <c r="P2" t="s">
        <v>97</v>
      </c>
      <c r="Q2" t="s">
        <v>98</v>
      </c>
      <c r="R2" t="s">
        <v>99</v>
      </c>
      <c r="S2" t="s">
        <v>100</v>
      </c>
      <c r="T2" t="s">
        <v>101</v>
      </c>
      <c r="U2" t="s">
        <v>102</v>
      </c>
    </row>
    <row r="4" spans="1:21" x14ac:dyDescent="0.2">
      <c r="A4" s="16">
        <v>45393</v>
      </c>
      <c r="B4" t="s">
        <v>103</v>
      </c>
      <c r="C4">
        <v>0</v>
      </c>
      <c r="D4">
        <v>120</v>
      </c>
      <c r="E4">
        <v>50</v>
      </c>
      <c r="F4" t="s">
        <v>40</v>
      </c>
      <c r="G4" t="s">
        <v>40</v>
      </c>
      <c r="H4">
        <v>1000</v>
      </c>
      <c r="I4" t="s">
        <v>104</v>
      </c>
      <c r="J4" t="s">
        <v>105</v>
      </c>
      <c r="K4" t="s">
        <v>106</v>
      </c>
      <c r="L4" t="s">
        <v>106</v>
      </c>
      <c r="M4" t="s">
        <v>107</v>
      </c>
      <c r="N4" t="s">
        <v>108</v>
      </c>
      <c r="O4" t="s">
        <v>109</v>
      </c>
    </row>
    <row r="5" spans="1:21" x14ac:dyDescent="0.2">
      <c r="A5" s="16">
        <v>45394</v>
      </c>
      <c r="B5" t="s">
        <v>110</v>
      </c>
      <c r="C5">
        <v>0</v>
      </c>
      <c r="D5">
        <v>120</v>
      </c>
      <c r="E5">
        <v>50</v>
      </c>
      <c r="F5" t="s">
        <v>40</v>
      </c>
      <c r="G5" t="s">
        <v>40</v>
      </c>
      <c r="H5">
        <v>1000</v>
      </c>
      <c r="I5" t="s">
        <v>104</v>
      </c>
      <c r="J5" t="s">
        <v>111</v>
      </c>
      <c r="K5" t="s">
        <v>106</v>
      </c>
      <c r="L5" t="s">
        <v>106</v>
      </c>
      <c r="M5" t="s">
        <v>107</v>
      </c>
      <c r="N5" t="s">
        <v>108</v>
      </c>
      <c r="O5" t="s">
        <v>109</v>
      </c>
      <c r="Q5" t="s">
        <v>112</v>
      </c>
    </row>
    <row r="6" spans="1:21" ht="17.25" customHeight="1" x14ac:dyDescent="0.2">
      <c r="A6" s="16">
        <v>45394</v>
      </c>
      <c r="B6" t="s">
        <v>113</v>
      </c>
      <c r="C6">
        <v>120</v>
      </c>
      <c r="D6">
        <v>60</v>
      </c>
      <c r="E6">
        <v>50</v>
      </c>
      <c r="F6" t="s">
        <v>40</v>
      </c>
      <c r="G6" t="s">
        <v>114</v>
      </c>
      <c r="H6">
        <v>300</v>
      </c>
      <c r="I6" t="s">
        <v>104</v>
      </c>
      <c r="J6" t="s">
        <v>115</v>
      </c>
      <c r="K6" t="s">
        <v>106</v>
      </c>
      <c r="L6" t="s">
        <v>116</v>
      </c>
      <c r="M6" t="s">
        <v>107</v>
      </c>
      <c r="N6" t="s">
        <v>108</v>
      </c>
      <c r="O6" t="s">
        <v>109</v>
      </c>
      <c r="Q6" t="s">
        <v>112</v>
      </c>
    </row>
    <row r="7" spans="1:21" ht="17.25" customHeight="1" x14ac:dyDescent="0.2">
      <c r="A7" s="16">
        <v>45397</v>
      </c>
      <c r="B7" t="s">
        <v>117</v>
      </c>
      <c r="C7">
        <v>100</v>
      </c>
      <c r="D7">
        <v>54.5</v>
      </c>
      <c r="E7">
        <v>50</v>
      </c>
      <c r="F7" t="s">
        <v>40</v>
      </c>
      <c r="G7" t="s">
        <v>114</v>
      </c>
      <c r="H7">
        <v>300</v>
      </c>
      <c r="I7" t="s">
        <v>118</v>
      </c>
      <c r="J7" t="s">
        <v>119</v>
      </c>
      <c r="K7" t="s">
        <v>106</v>
      </c>
      <c r="L7" t="s">
        <v>120</v>
      </c>
      <c r="M7" t="s">
        <v>107</v>
      </c>
      <c r="N7" t="s">
        <v>121</v>
      </c>
      <c r="O7" t="s">
        <v>109</v>
      </c>
      <c r="Q7" t="s">
        <v>112</v>
      </c>
      <c r="R7" t="s">
        <v>122</v>
      </c>
      <c r="S7" s="17"/>
    </row>
    <row r="8" spans="1:21" ht="17.25" customHeight="1" x14ac:dyDescent="0.2">
      <c r="A8" s="16">
        <v>45397</v>
      </c>
      <c r="B8" t="s">
        <v>123</v>
      </c>
      <c r="C8">
        <v>80</v>
      </c>
      <c r="D8">
        <v>48</v>
      </c>
      <c r="E8">
        <v>50</v>
      </c>
      <c r="F8" t="s">
        <v>40</v>
      </c>
      <c r="G8" t="s">
        <v>114</v>
      </c>
      <c r="H8">
        <v>300</v>
      </c>
      <c r="I8" t="s">
        <v>118</v>
      </c>
      <c r="J8" t="s">
        <v>119</v>
      </c>
      <c r="K8" t="s">
        <v>106</v>
      </c>
      <c r="L8" t="s">
        <v>124</v>
      </c>
      <c r="M8" t="s">
        <v>107</v>
      </c>
      <c r="N8" t="s">
        <v>121</v>
      </c>
      <c r="O8" t="s">
        <v>109</v>
      </c>
      <c r="Q8" t="s">
        <v>112</v>
      </c>
      <c r="R8" t="s">
        <v>125</v>
      </c>
    </row>
    <row r="9" spans="1:21" ht="17.25" customHeight="1" x14ac:dyDescent="0.2">
      <c r="A9" s="16">
        <v>45397</v>
      </c>
      <c r="B9" t="s">
        <v>126</v>
      </c>
      <c r="C9">
        <v>80</v>
      </c>
      <c r="D9">
        <v>48</v>
      </c>
      <c r="E9">
        <v>50</v>
      </c>
      <c r="F9" t="s">
        <v>40</v>
      </c>
      <c r="G9" t="s">
        <v>114</v>
      </c>
      <c r="H9">
        <v>300</v>
      </c>
      <c r="I9" t="s">
        <v>118</v>
      </c>
      <c r="J9" t="s">
        <v>119</v>
      </c>
      <c r="K9" t="s">
        <v>106</v>
      </c>
      <c r="L9" t="s">
        <v>124</v>
      </c>
      <c r="M9" t="s">
        <v>107</v>
      </c>
      <c r="N9" t="s">
        <v>121</v>
      </c>
      <c r="O9" t="s">
        <v>109</v>
      </c>
      <c r="Q9" t="s">
        <v>112</v>
      </c>
    </row>
    <row r="10" spans="1:21" x14ac:dyDescent="0.2">
      <c r="A10" s="16">
        <v>45398</v>
      </c>
      <c r="B10" t="s">
        <v>127</v>
      </c>
      <c r="C10">
        <v>0</v>
      </c>
      <c r="D10">
        <v>120</v>
      </c>
      <c r="E10">
        <v>50</v>
      </c>
      <c r="F10" t="s">
        <v>40</v>
      </c>
      <c r="G10" t="s">
        <v>114</v>
      </c>
      <c r="H10">
        <v>300</v>
      </c>
      <c r="I10" t="s">
        <v>118</v>
      </c>
      <c r="J10" t="s">
        <v>119</v>
      </c>
      <c r="K10" t="s">
        <v>106</v>
      </c>
      <c r="L10" t="s">
        <v>128</v>
      </c>
      <c r="M10" t="s">
        <v>107</v>
      </c>
      <c r="N10" t="s">
        <v>107</v>
      </c>
      <c r="O10" t="s">
        <v>109</v>
      </c>
      <c r="Q10" t="s">
        <v>112</v>
      </c>
    </row>
    <row r="11" spans="1:21" x14ac:dyDescent="0.2">
      <c r="A11" s="16">
        <v>45399</v>
      </c>
      <c r="B11" t="s">
        <v>129</v>
      </c>
      <c r="C11">
        <v>0</v>
      </c>
      <c r="D11">
        <v>120</v>
      </c>
      <c r="E11">
        <v>51.2</v>
      </c>
      <c r="F11">
        <v>19</v>
      </c>
      <c r="G11">
        <v>28</v>
      </c>
      <c r="H11">
        <v>1000</v>
      </c>
      <c r="I11" t="s">
        <v>130</v>
      </c>
      <c r="J11" t="s">
        <v>119</v>
      </c>
      <c r="K11" t="s">
        <v>106</v>
      </c>
      <c r="L11" t="s">
        <v>131</v>
      </c>
      <c r="M11" t="s">
        <v>107</v>
      </c>
      <c r="N11" t="s">
        <v>132</v>
      </c>
      <c r="O11" t="s">
        <v>109</v>
      </c>
      <c r="P11" s="1" t="s">
        <v>133</v>
      </c>
      <c r="Q11" t="s">
        <v>112</v>
      </c>
      <c r="R11" t="s">
        <v>134</v>
      </c>
    </row>
    <row r="12" spans="1:21" x14ac:dyDescent="0.2">
      <c r="A12" s="16">
        <v>45399</v>
      </c>
      <c r="B12" t="s">
        <v>135</v>
      </c>
      <c r="C12">
        <v>120</v>
      </c>
      <c r="D12">
        <v>60</v>
      </c>
      <c r="E12">
        <v>51.2</v>
      </c>
      <c r="F12" t="s">
        <v>40</v>
      </c>
      <c r="G12" t="s">
        <v>40</v>
      </c>
      <c r="H12">
        <v>330</v>
      </c>
      <c r="I12" t="s">
        <v>130</v>
      </c>
      <c r="J12" t="s">
        <v>119</v>
      </c>
      <c r="K12" t="s">
        <v>106</v>
      </c>
      <c r="L12" t="s">
        <v>131</v>
      </c>
      <c r="M12" t="s">
        <v>107</v>
      </c>
      <c r="N12" t="s">
        <v>132</v>
      </c>
      <c r="O12" t="s">
        <v>109</v>
      </c>
      <c r="P12" s="1" t="s">
        <v>133</v>
      </c>
      <c r="Q12" t="s">
        <v>112</v>
      </c>
    </row>
    <row r="13" spans="1:21" x14ac:dyDescent="0.2">
      <c r="A13" s="16">
        <v>45404</v>
      </c>
      <c r="B13" t="s">
        <v>73</v>
      </c>
      <c r="C13">
        <v>120</v>
      </c>
      <c r="D13">
        <v>60</v>
      </c>
      <c r="E13" t="s">
        <v>136</v>
      </c>
      <c r="F13">
        <v>22</v>
      </c>
      <c r="G13">
        <v>34</v>
      </c>
      <c r="H13">
        <v>330</v>
      </c>
      <c r="I13" t="s">
        <v>130</v>
      </c>
      <c r="J13" t="s">
        <v>119</v>
      </c>
      <c r="K13" t="s">
        <v>137</v>
      </c>
      <c r="L13" t="s">
        <v>131</v>
      </c>
      <c r="M13" t="s">
        <v>107</v>
      </c>
      <c r="N13" t="s">
        <v>132</v>
      </c>
      <c r="O13" t="s">
        <v>138</v>
      </c>
      <c r="P13" s="1" t="s">
        <v>133</v>
      </c>
      <c r="Q13" t="s">
        <v>112</v>
      </c>
      <c r="R13" t="s">
        <v>139</v>
      </c>
    </row>
    <row r="14" spans="1:21" x14ac:dyDescent="0.2">
      <c r="A14" s="16">
        <v>45404</v>
      </c>
      <c r="B14" t="s">
        <v>74</v>
      </c>
      <c r="C14">
        <v>98</v>
      </c>
      <c r="D14">
        <v>541</v>
      </c>
      <c r="E14" t="s">
        <v>136</v>
      </c>
      <c r="F14">
        <v>22</v>
      </c>
      <c r="G14">
        <v>34</v>
      </c>
      <c r="H14">
        <v>330</v>
      </c>
      <c r="I14" t="s">
        <v>130</v>
      </c>
      <c r="J14" t="s">
        <v>119</v>
      </c>
      <c r="K14" t="s">
        <v>137</v>
      </c>
      <c r="L14" t="s">
        <v>131</v>
      </c>
      <c r="M14" t="s">
        <v>107</v>
      </c>
      <c r="N14" t="s">
        <v>132</v>
      </c>
      <c r="O14" t="s">
        <v>138</v>
      </c>
      <c r="P14" s="1" t="s">
        <v>133</v>
      </c>
      <c r="Q14" t="s">
        <v>112</v>
      </c>
      <c r="R14" t="s">
        <v>140</v>
      </c>
    </row>
    <row r="15" spans="1:21" x14ac:dyDescent="0.2">
      <c r="A15" s="16">
        <v>45408</v>
      </c>
      <c r="B15" t="s">
        <v>75</v>
      </c>
      <c r="C15">
        <v>0</v>
      </c>
      <c r="D15">
        <v>120</v>
      </c>
      <c r="E15">
        <v>49.5</v>
      </c>
      <c r="F15">
        <v>21</v>
      </c>
      <c r="G15">
        <v>40</v>
      </c>
      <c r="H15">
        <v>1000</v>
      </c>
      <c r="I15" t="s">
        <v>130</v>
      </c>
      <c r="J15" t="s">
        <v>119</v>
      </c>
      <c r="K15" t="s">
        <v>141</v>
      </c>
      <c r="L15" t="s">
        <v>131</v>
      </c>
      <c r="M15" t="s">
        <v>107</v>
      </c>
      <c r="O15" t="s">
        <v>138</v>
      </c>
      <c r="P15" s="1" t="s">
        <v>142</v>
      </c>
      <c r="Q15" t="s">
        <v>112</v>
      </c>
      <c r="R15" t="s">
        <v>143</v>
      </c>
    </row>
    <row r="16" spans="1:21" x14ac:dyDescent="0.2">
      <c r="A16" s="8">
        <v>45411</v>
      </c>
      <c r="B16" t="s">
        <v>76</v>
      </c>
      <c r="C16">
        <v>0</v>
      </c>
      <c r="D16">
        <v>120</v>
      </c>
      <c r="E16">
        <v>48.8</v>
      </c>
      <c r="F16" t="s">
        <v>40</v>
      </c>
      <c r="G16" t="s">
        <v>40</v>
      </c>
      <c r="H16">
        <v>1000</v>
      </c>
      <c r="I16" t="s">
        <v>130</v>
      </c>
      <c r="J16" t="s">
        <v>119</v>
      </c>
      <c r="K16" t="s">
        <v>144</v>
      </c>
      <c r="L16" t="s">
        <v>131</v>
      </c>
      <c r="M16" t="s">
        <v>107</v>
      </c>
      <c r="O16" t="s">
        <v>138</v>
      </c>
      <c r="P16" s="1"/>
      <c r="Q16" t="s">
        <v>112</v>
      </c>
    </row>
    <row r="17" spans="1:27" x14ac:dyDescent="0.2">
      <c r="A17" s="8">
        <v>45411</v>
      </c>
      <c r="B17" t="s">
        <v>145</v>
      </c>
      <c r="C17">
        <v>0</v>
      </c>
      <c r="D17">
        <v>120</v>
      </c>
      <c r="E17">
        <v>48.8</v>
      </c>
      <c r="F17" t="s">
        <v>40</v>
      </c>
      <c r="G17" t="s">
        <v>40</v>
      </c>
      <c r="H17">
        <v>1000</v>
      </c>
      <c r="I17" t="s">
        <v>130</v>
      </c>
      <c r="J17" t="s">
        <v>119</v>
      </c>
      <c r="K17" t="s">
        <v>144</v>
      </c>
      <c r="L17" t="s">
        <v>131</v>
      </c>
      <c r="M17" t="s">
        <v>107</v>
      </c>
      <c r="O17" t="s">
        <v>138</v>
      </c>
      <c r="P17" s="1"/>
      <c r="Q17" t="s">
        <v>112</v>
      </c>
      <c r="R17" t="s">
        <v>146</v>
      </c>
    </row>
    <row r="18" spans="1:27" x14ac:dyDescent="0.2">
      <c r="A18" s="8">
        <v>45412</v>
      </c>
      <c r="B18" t="s">
        <v>147</v>
      </c>
      <c r="C18">
        <v>0</v>
      </c>
      <c r="D18">
        <v>120</v>
      </c>
      <c r="E18">
        <v>49.2</v>
      </c>
      <c r="F18">
        <v>18</v>
      </c>
      <c r="G18">
        <v>23</v>
      </c>
      <c r="H18">
        <v>1000</v>
      </c>
      <c r="I18" t="s">
        <v>130</v>
      </c>
      <c r="J18" t="s">
        <v>119</v>
      </c>
      <c r="K18" t="s">
        <v>144</v>
      </c>
      <c r="L18" t="s">
        <v>131</v>
      </c>
      <c r="M18" t="s">
        <v>148</v>
      </c>
      <c r="O18" t="s">
        <v>138</v>
      </c>
      <c r="P18" s="1"/>
      <c r="Q18" t="s">
        <v>112</v>
      </c>
      <c r="R18" t="s">
        <v>149</v>
      </c>
    </row>
    <row r="19" spans="1:27" x14ac:dyDescent="0.2">
      <c r="A19" s="8">
        <v>45414</v>
      </c>
      <c r="B19" t="s">
        <v>150</v>
      </c>
      <c r="C19">
        <v>120</v>
      </c>
      <c r="D19">
        <v>60</v>
      </c>
      <c r="E19">
        <v>49.2</v>
      </c>
      <c r="F19">
        <v>20</v>
      </c>
      <c r="G19">
        <v>38</v>
      </c>
      <c r="H19">
        <v>1000</v>
      </c>
      <c r="I19" t="s">
        <v>130</v>
      </c>
      <c r="J19" t="s">
        <v>119</v>
      </c>
      <c r="K19" t="s">
        <v>144</v>
      </c>
      <c r="L19" t="s">
        <v>131</v>
      </c>
      <c r="M19" t="s">
        <v>148</v>
      </c>
      <c r="O19" t="s">
        <v>138</v>
      </c>
      <c r="P19" s="1" t="s">
        <v>151</v>
      </c>
      <c r="Q19" t="s">
        <v>112</v>
      </c>
    </row>
    <row r="20" spans="1:27" x14ac:dyDescent="0.2">
      <c r="A20" s="8">
        <v>45415</v>
      </c>
      <c r="B20" t="s">
        <v>82</v>
      </c>
      <c r="C20">
        <v>100</v>
      </c>
      <c r="D20">
        <v>54.5</v>
      </c>
      <c r="E20">
        <v>49.2</v>
      </c>
      <c r="F20">
        <v>15</v>
      </c>
      <c r="G20">
        <v>26</v>
      </c>
      <c r="H20">
        <v>1000</v>
      </c>
      <c r="I20" t="s">
        <v>130</v>
      </c>
      <c r="J20" t="s">
        <v>119</v>
      </c>
      <c r="K20" t="s">
        <v>144</v>
      </c>
      <c r="L20" t="s">
        <v>131</v>
      </c>
      <c r="M20" t="s">
        <v>148</v>
      </c>
      <c r="O20" t="s">
        <v>138</v>
      </c>
      <c r="P20" s="1" t="s">
        <v>151</v>
      </c>
      <c r="Q20" t="s">
        <v>112</v>
      </c>
      <c r="R20" t="s">
        <v>152</v>
      </c>
    </row>
    <row r="21" spans="1:27" s="18" customFormat="1" x14ac:dyDescent="0.2">
      <c r="A21" s="45" t="s">
        <v>153</v>
      </c>
      <c r="B21" s="45"/>
      <c r="C21" s="45"/>
      <c r="D21" s="45"/>
      <c r="E21" s="45"/>
      <c r="F21" s="45"/>
    </row>
    <row r="22" spans="1:27" x14ac:dyDescent="0.2">
      <c r="A22" s="22"/>
      <c r="B22" s="22"/>
      <c r="C22" s="22"/>
      <c r="D22" s="22"/>
      <c r="E22" s="22"/>
      <c r="F22" s="2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">
      <c r="A23" s="23" t="s">
        <v>88</v>
      </c>
      <c r="B23" s="23" t="s">
        <v>10</v>
      </c>
      <c r="C23" s="23" t="s">
        <v>154</v>
      </c>
      <c r="D23" s="23" t="s">
        <v>224</v>
      </c>
      <c r="E23" s="24" t="s">
        <v>16</v>
      </c>
      <c r="F23" s="24" t="s">
        <v>275</v>
      </c>
      <c r="G23" s="24" t="s">
        <v>17</v>
      </c>
      <c r="H23" s="24" t="s">
        <v>18</v>
      </c>
      <c r="I23" s="24" t="s">
        <v>21</v>
      </c>
      <c r="J23" s="23" t="s">
        <v>13</v>
      </c>
      <c r="K23" s="23" t="s">
        <v>89</v>
      </c>
      <c r="L23" s="24" t="s">
        <v>157</v>
      </c>
      <c r="M23" s="24" t="s">
        <v>24</v>
      </c>
      <c r="N23" s="23" t="s">
        <v>158</v>
      </c>
      <c r="O23" s="24" t="s">
        <v>159</v>
      </c>
      <c r="P23" s="24" t="s">
        <v>160</v>
      </c>
      <c r="Q23" s="24" t="s">
        <v>161</v>
      </c>
      <c r="R23" s="24" t="s">
        <v>162</v>
      </c>
      <c r="S23" s="24" t="s">
        <v>163</v>
      </c>
      <c r="T23" s="24" t="s">
        <v>164</v>
      </c>
      <c r="U23" s="23" t="s">
        <v>229</v>
      </c>
      <c r="V23" s="23" t="s">
        <v>232</v>
      </c>
      <c r="W23" s="23" t="s">
        <v>97</v>
      </c>
      <c r="X23" s="24"/>
      <c r="Y23" s="24" t="s">
        <v>165</v>
      </c>
      <c r="Z23" s="18"/>
      <c r="AA23" s="18"/>
    </row>
    <row r="24" spans="1:27" x14ac:dyDescent="0.2">
      <c r="A24" s="8">
        <v>45460</v>
      </c>
      <c r="B24" t="s">
        <v>83</v>
      </c>
      <c r="C24" t="s">
        <v>166</v>
      </c>
      <c r="D24" t="s">
        <v>225</v>
      </c>
      <c r="E24" t="s">
        <v>182</v>
      </c>
      <c r="G24" t="s">
        <v>40</v>
      </c>
      <c r="H24" t="s">
        <v>40</v>
      </c>
      <c r="I24" t="e">
        <f>SQRT(9.81*(0.002*(H24-G24))/F24*100)</f>
        <v>#VALUE!</v>
      </c>
      <c r="J24">
        <v>0</v>
      </c>
      <c r="K24">
        <v>0</v>
      </c>
      <c r="L24">
        <f>IF(J24=0, ,2*(2*PI()/J24))</f>
        <v>0</v>
      </c>
      <c r="M24" s="1" t="s">
        <v>203</v>
      </c>
      <c r="N24" t="s">
        <v>167</v>
      </c>
      <c r="O24" s="1" t="s">
        <v>45</v>
      </c>
      <c r="P24" t="s">
        <v>104</v>
      </c>
      <c r="Q24" t="s">
        <v>168</v>
      </c>
      <c r="R24" s="1" t="s">
        <v>45</v>
      </c>
      <c r="S24" t="s">
        <v>104</v>
      </c>
      <c r="T24" t="s">
        <v>169</v>
      </c>
      <c r="U24" t="s">
        <v>106</v>
      </c>
      <c r="W24" s="1" t="s">
        <v>151</v>
      </c>
      <c r="Y24" t="s">
        <v>170</v>
      </c>
    </row>
    <row r="25" spans="1:27" x14ac:dyDescent="0.2">
      <c r="A25" s="16">
        <v>45461</v>
      </c>
      <c r="B25" t="s">
        <v>84</v>
      </c>
      <c r="C25" t="s">
        <v>171</v>
      </c>
      <c r="D25" t="s">
        <v>225</v>
      </c>
      <c r="E25" t="s">
        <v>183</v>
      </c>
      <c r="G25" t="s">
        <v>40</v>
      </c>
      <c r="H25" t="s">
        <v>40</v>
      </c>
      <c r="I25" t="e">
        <f t="shared" ref="I25:I37" si="0">SQRT(9.81*(0.002*(H25-G25))/F25*100)</f>
        <v>#VALUE!</v>
      </c>
      <c r="J25">
        <v>120</v>
      </c>
      <c r="K25">
        <v>120</v>
      </c>
      <c r="L25">
        <f t="shared" ref="L25:L29" si="1">IF(J25=0, ,2*(2*PI()/J25))</f>
        <v>0.10471975511965977</v>
      </c>
      <c r="M25" s="1" t="s">
        <v>203</v>
      </c>
      <c r="N25" t="s">
        <v>226</v>
      </c>
      <c r="O25" s="1" t="s">
        <v>45</v>
      </c>
      <c r="P25" t="s">
        <v>104</v>
      </c>
      <c r="Q25" t="s">
        <v>168</v>
      </c>
      <c r="R25" s="1" t="s">
        <v>45</v>
      </c>
      <c r="S25" t="s">
        <v>184</v>
      </c>
      <c r="T25" t="s">
        <v>169</v>
      </c>
      <c r="U25" t="s">
        <v>106</v>
      </c>
      <c r="W25" s="1" t="s">
        <v>172</v>
      </c>
      <c r="Y25" t="s">
        <v>185</v>
      </c>
    </row>
    <row r="26" spans="1:27" x14ac:dyDescent="0.2">
      <c r="A26" s="16">
        <v>45461</v>
      </c>
      <c r="B26" t="s">
        <v>85</v>
      </c>
      <c r="C26" t="s">
        <v>171</v>
      </c>
      <c r="D26" t="s">
        <v>227</v>
      </c>
      <c r="E26" t="s">
        <v>183</v>
      </c>
      <c r="G26" t="s">
        <v>40</v>
      </c>
      <c r="H26" t="s">
        <v>40</v>
      </c>
      <c r="I26" t="e">
        <f t="shared" si="0"/>
        <v>#VALUE!</v>
      </c>
      <c r="J26">
        <v>120</v>
      </c>
      <c r="K26">
        <v>120</v>
      </c>
      <c r="L26">
        <f t="shared" si="1"/>
        <v>0.10471975511965977</v>
      </c>
      <c r="M26" s="1" t="s">
        <v>203</v>
      </c>
      <c r="N26" t="s">
        <v>226</v>
      </c>
      <c r="O26" s="1" t="s">
        <v>45</v>
      </c>
      <c r="P26" t="s">
        <v>104</v>
      </c>
      <c r="Q26" t="s">
        <v>168</v>
      </c>
      <c r="R26" s="1" t="s">
        <v>45</v>
      </c>
      <c r="S26" t="s">
        <v>228</v>
      </c>
      <c r="T26" t="s">
        <v>169</v>
      </c>
      <c r="U26" s="32" t="s">
        <v>231</v>
      </c>
      <c r="V26" t="s">
        <v>233</v>
      </c>
      <c r="W26" s="1" t="s">
        <v>172</v>
      </c>
      <c r="Y26" t="s">
        <v>230</v>
      </c>
    </row>
    <row r="27" spans="1:27" x14ac:dyDescent="0.2">
      <c r="A27" s="16">
        <v>45462</v>
      </c>
      <c r="B27" t="s">
        <v>223</v>
      </c>
      <c r="C27" t="s">
        <v>235</v>
      </c>
      <c r="D27" t="s">
        <v>225</v>
      </c>
      <c r="E27" t="s">
        <v>182</v>
      </c>
      <c r="G27" t="s">
        <v>40</v>
      </c>
      <c r="H27" t="s">
        <v>40</v>
      </c>
      <c r="I27" t="e">
        <f t="shared" si="0"/>
        <v>#VALUE!</v>
      </c>
      <c r="J27">
        <v>0</v>
      </c>
      <c r="K27" t="s">
        <v>234</v>
      </c>
      <c r="L27">
        <f t="shared" si="1"/>
        <v>0</v>
      </c>
      <c r="M27" s="1" t="s">
        <v>203</v>
      </c>
      <c r="N27" t="s">
        <v>239</v>
      </c>
      <c r="O27" s="1" t="s">
        <v>236</v>
      </c>
      <c r="P27" t="s">
        <v>237</v>
      </c>
      <c r="Q27" t="s">
        <v>238</v>
      </c>
      <c r="R27" s="1" t="s">
        <v>203</v>
      </c>
      <c r="S27" t="s">
        <v>240</v>
      </c>
      <c r="U27" s="32" t="s">
        <v>241</v>
      </c>
      <c r="V27" t="s">
        <v>244</v>
      </c>
      <c r="W27" s="1" t="s">
        <v>172</v>
      </c>
      <c r="Y27" t="s">
        <v>246</v>
      </c>
    </row>
    <row r="28" spans="1:27" x14ac:dyDescent="0.2">
      <c r="A28" s="16">
        <v>45463</v>
      </c>
      <c r="B28" t="s">
        <v>247</v>
      </c>
      <c r="C28" t="s">
        <v>166</v>
      </c>
      <c r="D28" t="s">
        <v>225</v>
      </c>
      <c r="E28" t="s">
        <v>182</v>
      </c>
      <c r="G28" t="s">
        <v>40</v>
      </c>
      <c r="H28" t="s">
        <v>40</v>
      </c>
      <c r="I28" t="e">
        <f t="shared" si="0"/>
        <v>#VALUE!</v>
      </c>
      <c r="J28">
        <v>0</v>
      </c>
      <c r="K28">
        <v>0</v>
      </c>
      <c r="L28">
        <f t="shared" si="1"/>
        <v>0</v>
      </c>
      <c r="M28" s="1" t="s">
        <v>203</v>
      </c>
      <c r="N28" t="s">
        <v>251</v>
      </c>
      <c r="O28" s="1" t="s">
        <v>45</v>
      </c>
      <c r="P28" t="s">
        <v>184</v>
      </c>
      <c r="Q28" t="s">
        <v>242</v>
      </c>
      <c r="R28" s="1" t="s">
        <v>45</v>
      </c>
      <c r="S28" t="s">
        <v>243</v>
      </c>
      <c r="T28" t="s">
        <v>256</v>
      </c>
      <c r="U28" s="32" t="s">
        <v>263</v>
      </c>
      <c r="V28" t="s">
        <v>245</v>
      </c>
      <c r="W28" s="1" t="s">
        <v>172</v>
      </c>
    </row>
    <row r="29" spans="1:27" x14ac:dyDescent="0.2">
      <c r="A29" s="16">
        <v>45463</v>
      </c>
      <c r="B29" t="s">
        <v>248</v>
      </c>
      <c r="C29" t="s">
        <v>166</v>
      </c>
      <c r="D29" t="s">
        <v>249</v>
      </c>
      <c r="E29" t="s">
        <v>250</v>
      </c>
      <c r="G29" t="s">
        <v>40</v>
      </c>
      <c r="H29" t="s">
        <v>40</v>
      </c>
      <c r="I29" t="e">
        <f t="shared" si="0"/>
        <v>#VALUE!</v>
      </c>
      <c r="J29">
        <v>0</v>
      </c>
      <c r="K29">
        <v>0</v>
      </c>
      <c r="L29">
        <f t="shared" si="1"/>
        <v>0</v>
      </c>
      <c r="M29" s="1" t="s">
        <v>203</v>
      </c>
      <c r="N29" t="s">
        <v>251</v>
      </c>
      <c r="O29" s="1" t="s">
        <v>45</v>
      </c>
      <c r="P29" t="s">
        <v>184</v>
      </c>
      <c r="Q29" t="s">
        <v>242</v>
      </c>
      <c r="R29" s="1" t="s">
        <v>45</v>
      </c>
      <c r="S29" t="s">
        <v>243</v>
      </c>
      <c r="T29" t="s">
        <v>256</v>
      </c>
      <c r="U29" s="32" t="s">
        <v>263</v>
      </c>
      <c r="V29" t="s">
        <v>245</v>
      </c>
      <c r="W29" s="1" t="s">
        <v>172</v>
      </c>
      <c r="Y29" t="s">
        <v>253</v>
      </c>
    </row>
    <row r="30" spans="1:27" x14ac:dyDescent="0.2">
      <c r="A30" s="16">
        <v>45463</v>
      </c>
      <c r="B30" t="s">
        <v>252</v>
      </c>
      <c r="C30" t="s">
        <v>166</v>
      </c>
      <c r="D30" t="s">
        <v>255</v>
      </c>
      <c r="E30" t="s">
        <v>254</v>
      </c>
      <c r="G30" t="s">
        <v>40</v>
      </c>
      <c r="H30" t="s">
        <v>40</v>
      </c>
      <c r="I30" t="e">
        <f t="shared" si="0"/>
        <v>#VALUE!</v>
      </c>
      <c r="J30">
        <v>0</v>
      </c>
      <c r="K30">
        <v>0</v>
      </c>
      <c r="L30">
        <f t="shared" ref="L30:L32" si="2">IF(J30=0, ,2*(2*PI()/J30))</f>
        <v>0</v>
      </c>
      <c r="M30" s="1" t="s">
        <v>203</v>
      </c>
      <c r="N30" t="s">
        <v>251</v>
      </c>
      <c r="O30" s="1" t="s">
        <v>45</v>
      </c>
      <c r="P30" t="s">
        <v>184</v>
      </c>
      <c r="Q30" t="s">
        <v>242</v>
      </c>
      <c r="R30" s="1" t="s">
        <v>45</v>
      </c>
      <c r="S30" t="s">
        <v>243</v>
      </c>
      <c r="T30" t="s">
        <v>256</v>
      </c>
      <c r="U30" s="1" t="s">
        <v>203</v>
      </c>
      <c r="V30" t="s">
        <v>106</v>
      </c>
      <c r="W30" s="1" t="s">
        <v>172</v>
      </c>
    </row>
    <row r="31" spans="1:27" x14ac:dyDescent="0.2">
      <c r="A31" s="16">
        <v>45464</v>
      </c>
      <c r="B31" t="s">
        <v>259</v>
      </c>
      <c r="C31" t="s">
        <v>171</v>
      </c>
      <c r="D31" t="s">
        <v>225</v>
      </c>
      <c r="E31" t="s">
        <v>182</v>
      </c>
      <c r="G31" t="s">
        <v>40</v>
      </c>
      <c r="H31" t="s">
        <v>40</v>
      </c>
      <c r="I31" t="e">
        <f t="shared" si="0"/>
        <v>#VALUE!</v>
      </c>
      <c r="J31">
        <v>60</v>
      </c>
      <c r="K31">
        <v>60</v>
      </c>
      <c r="L31">
        <f t="shared" si="2"/>
        <v>0.20943951023931953</v>
      </c>
      <c r="M31" s="1" t="s">
        <v>203</v>
      </c>
      <c r="N31" t="s">
        <v>251</v>
      </c>
      <c r="O31" s="1" t="s">
        <v>45</v>
      </c>
      <c r="P31" t="s">
        <v>184</v>
      </c>
      <c r="Q31" t="s">
        <v>242</v>
      </c>
      <c r="R31" s="1" t="s">
        <v>45</v>
      </c>
      <c r="S31" t="s">
        <v>243</v>
      </c>
      <c r="T31" t="s">
        <v>256</v>
      </c>
      <c r="U31" s="32" t="s">
        <v>265</v>
      </c>
      <c r="V31" t="s">
        <v>245</v>
      </c>
      <c r="W31" s="1" t="s">
        <v>172</v>
      </c>
    </row>
    <row r="32" spans="1:27" x14ac:dyDescent="0.2">
      <c r="A32" s="16">
        <v>45464</v>
      </c>
      <c r="B32" t="s">
        <v>260</v>
      </c>
      <c r="C32" t="s">
        <v>171</v>
      </c>
      <c r="D32" t="s">
        <v>266</v>
      </c>
      <c r="E32" t="s">
        <v>250</v>
      </c>
      <c r="G32" t="s">
        <v>40</v>
      </c>
      <c r="H32" t="s">
        <v>40</v>
      </c>
      <c r="I32" t="e">
        <f t="shared" si="0"/>
        <v>#VALUE!</v>
      </c>
      <c r="J32">
        <v>60</v>
      </c>
      <c r="K32">
        <v>60</v>
      </c>
      <c r="L32">
        <f t="shared" si="2"/>
        <v>0.20943951023931953</v>
      </c>
      <c r="M32" s="1" t="s">
        <v>203</v>
      </c>
      <c r="N32" t="s">
        <v>251</v>
      </c>
      <c r="O32" s="1" t="s">
        <v>45</v>
      </c>
      <c r="P32" t="s">
        <v>184</v>
      </c>
      <c r="Q32" t="s">
        <v>242</v>
      </c>
      <c r="R32" s="1" t="s">
        <v>203</v>
      </c>
      <c r="S32" t="s">
        <v>106</v>
      </c>
      <c r="T32" t="s">
        <v>106</v>
      </c>
      <c r="U32" s="33" t="s">
        <v>264</v>
      </c>
      <c r="V32" t="s">
        <v>245</v>
      </c>
      <c r="W32" s="1" t="s">
        <v>172</v>
      </c>
      <c r="Y32" t="s">
        <v>267</v>
      </c>
    </row>
    <row r="33" spans="1:25" x14ac:dyDescent="0.2">
      <c r="A33" s="16">
        <v>45464</v>
      </c>
      <c r="B33" t="s">
        <v>261</v>
      </c>
      <c r="C33" t="s">
        <v>258</v>
      </c>
      <c r="D33" t="s">
        <v>257</v>
      </c>
      <c r="E33" t="s">
        <v>254</v>
      </c>
      <c r="G33" t="s">
        <v>40</v>
      </c>
      <c r="H33" t="s">
        <v>40</v>
      </c>
      <c r="I33" t="e">
        <f t="shared" si="0"/>
        <v>#VALUE!</v>
      </c>
      <c r="J33">
        <v>60</v>
      </c>
      <c r="K33">
        <v>48</v>
      </c>
      <c r="L33">
        <f t="shared" ref="L33:L36" si="3">IF(J33=0, ,2*(2*PI()/J33))</f>
        <v>0.20943951023931953</v>
      </c>
      <c r="M33" s="1" t="s">
        <v>203</v>
      </c>
      <c r="N33" t="s">
        <v>251</v>
      </c>
      <c r="O33" s="1" t="s">
        <v>45</v>
      </c>
      <c r="P33" t="s">
        <v>237</v>
      </c>
      <c r="Q33" t="s">
        <v>238</v>
      </c>
      <c r="R33" s="1" t="s">
        <v>45</v>
      </c>
      <c r="S33" t="s">
        <v>262</v>
      </c>
      <c r="T33" t="s">
        <v>238</v>
      </c>
      <c r="U33" s="1" t="s">
        <v>203</v>
      </c>
      <c r="V33" t="s">
        <v>106</v>
      </c>
      <c r="W33" s="1" t="s">
        <v>172</v>
      </c>
    </row>
    <row r="34" spans="1:25" x14ac:dyDescent="0.2">
      <c r="A34" s="16">
        <v>45466</v>
      </c>
      <c r="B34" t="s">
        <v>270</v>
      </c>
      <c r="C34" t="s">
        <v>208</v>
      </c>
      <c r="D34" t="s">
        <v>271</v>
      </c>
      <c r="E34" t="s">
        <v>274</v>
      </c>
      <c r="F34">
        <v>33</v>
      </c>
      <c r="G34">
        <v>24</v>
      </c>
      <c r="H34">
        <v>33</v>
      </c>
      <c r="I34">
        <f t="shared" si="0"/>
        <v>0.73149908345185854</v>
      </c>
      <c r="J34">
        <v>0</v>
      </c>
      <c r="K34">
        <v>0</v>
      </c>
      <c r="L34">
        <f t="shared" si="3"/>
        <v>0</v>
      </c>
      <c r="M34" s="1" t="s">
        <v>203</v>
      </c>
      <c r="N34" t="s">
        <v>272</v>
      </c>
      <c r="O34" s="1" t="s">
        <v>45</v>
      </c>
      <c r="P34" t="s">
        <v>184</v>
      </c>
      <c r="Q34" t="s">
        <v>273</v>
      </c>
      <c r="R34" s="1" t="s">
        <v>45</v>
      </c>
      <c r="S34" t="s">
        <v>243</v>
      </c>
      <c r="T34" t="s">
        <v>256</v>
      </c>
      <c r="U34" s="1" t="s">
        <v>203</v>
      </c>
      <c r="V34" t="s">
        <v>106</v>
      </c>
      <c r="W34" s="1" t="s">
        <v>172</v>
      </c>
    </row>
    <row r="35" spans="1:25" x14ac:dyDescent="0.2">
      <c r="A35" s="16">
        <v>45467</v>
      </c>
      <c r="B35" t="s">
        <v>276</v>
      </c>
      <c r="C35" t="s">
        <v>166</v>
      </c>
      <c r="D35" t="s">
        <v>271</v>
      </c>
      <c r="E35" t="s">
        <v>274</v>
      </c>
      <c r="F35">
        <v>14</v>
      </c>
      <c r="G35">
        <v>20</v>
      </c>
      <c r="H35">
        <v>27</v>
      </c>
      <c r="I35">
        <f t="shared" si="0"/>
        <v>0.99045444115315073</v>
      </c>
      <c r="J35">
        <v>0</v>
      </c>
      <c r="K35">
        <v>0</v>
      </c>
      <c r="L35">
        <f t="shared" ref="L35" si="4">IF(J35=0, ,2*(2*PI()/J35))</f>
        <v>0</v>
      </c>
      <c r="M35" s="1" t="s">
        <v>203</v>
      </c>
      <c r="N35" t="s">
        <v>272</v>
      </c>
      <c r="O35" s="1" t="s">
        <v>45</v>
      </c>
      <c r="P35" t="s">
        <v>184</v>
      </c>
      <c r="Q35" t="s">
        <v>273</v>
      </c>
      <c r="R35" s="1" t="s">
        <v>45</v>
      </c>
      <c r="S35" t="s">
        <v>243</v>
      </c>
      <c r="T35" t="s">
        <v>256</v>
      </c>
      <c r="U35" s="1" t="s">
        <v>203</v>
      </c>
      <c r="V35" t="s">
        <v>106</v>
      </c>
      <c r="W35" s="1" t="s">
        <v>172</v>
      </c>
      <c r="Y35" t="s">
        <v>283</v>
      </c>
    </row>
    <row r="36" spans="1:25" x14ac:dyDescent="0.2">
      <c r="A36" s="16">
        <v>45468</v>
      </c>
      <c r="B36" t="s">
        <v>277</v>
      </c>
      <c r="C36" t="s">
        <v>171</v>
      </c>
      <c r="D36" t="s">
        <v>225</v>
      </c>
      <c r="E36" t="s">
        <v>182</v>
      </c>
      <c r="G36" t="s">
        <v>40</v>
      </c>
      <c r="H36" t="s">
        <v>40</v>
      </c>
      <c r="I36" t="e">
        <f t="shared" si="0"/>
        <v>#VALUE!</v>
      </c>
      <c r="J36">
        <v>120</v>
      </c>
      <c r="K36">
        <v>120</v>
      </c>
      <c r="L36">
        <f t="shared" si="3"/>
        <v>0.10471975511965977</v>
      </c>
      <c r="M36" s="1" t="s">
        <v>203</v>
      </c>
      <c r="N36" t="s">
        <v>251</v>
      </c>
      <c r="O36" s="1" t="s">
        <v>45</v>
      </c>
      <c r="P36" t="s">
        <v>184</v>
      </c>
      <c r="Q36" t="s">
        <v>242</v>
      </c>
      <c r="R36" s="1" t="s">
        <v>45</v>
      </c>
      <c r="S36" t="s">
        <v>243</v>
      </c>
      <c r="T36" t="s">
        <v>256</v>
      </c>
      <c r="U36" s="33" t="s">
        <v>265</v>
      </c>
      <c r="V36" t="s">
        <v>245</v>
      </c>
      <c r="W36" s="1" t="s">
        <v>172</v>
      </c>
      <c r="Y36" t="e">
        <f>+(camera IR)</f>
        <v>#NAME?</v>
      </c>
    </row>
    <row r="37" spans="1:25" x14ac:dyDescent="0.2">
      <c r="A37" s="16">
        <v>45468</v>
      </c>
      <c r="B37" t="s">
        <v>278</v>
      </c>
      <c r="C37" t="s">
        <v>279</v>
      </c>
      <c r="D37" t="s">
        <v>287</v>
      </c>
      <c r="E37" t="s">
        <v>254</v>
      </c>
      <c r="G37" t="s">
        <v>40</v>
      </c>
      <c r="H37" t="s">
        <v>40</v>
      </c>
      <c r="I37" t="e">
        <f t="shared" si="0"/>
        <v>#VALUE!</v>
      </c>
      <c r="J37">
        <v>120</v>
      </c>
      <c r="K37">
        <v>80</v>
      </c>
      <c r="L37">
        <f t="shared" ref="L37:L39" si="5">IF(J37=0, ,2*(2*PI()/J37))</f>
        <v>0.10471975511965977</v>
      </c>
      <c r="M37" s="1" t="s">
        <v>203</v>
      </c>
      <c r="N37" t="s">
        <v>288</v>
      </c>
      <c r="O37" s="1" t="s">
        <v>45</v>
      </c>
      <c r="P37" t="s">
        <v>184</v>
      </c>
      <c r="Q37" t="s">
        <v>238</v>
      </c>
      <c r="R37" s="1" t="s">
        <v>203</v>
      </c>
      <c r="S37" t="s">
        <v>262</v>
      </c>
      <c r="T37" t="s">
        <v>238</v>
      </c>
      <c r="U37" s="1" t="s">
        <v>203</v>
      </c>
      <c r="V37" t="s">
        <v>106</v>
      </c>
      <c r="W37" s="1" t="s">
        <v>172</v>
      </c>
      <c r="Y37" t="e">
        <f>+(camera IR)</f>
        <v>#NAME?</v>
      </c>
    </row>
    <row r="38" spans="1:25" x14ac:dyDescent="0.2">
      <c r="A38" s="16">
        <v>45470</v>
      </c>
      <c r="B38" t="s">
        <v>280</v>
      </c>
      <c r="C38" t="s">
        <v>208</v>
      </c>
      <c r="D38" t="s">
        <v>271</v>
      </c>
      <c r="E38" t="s">
        <v>274</v>
      </c>
      <c r="F38">
        <v>16</v>
      </c>
      <c r="G38">
        <v>19</v>
      </c>
      <c r="H38">
        <v>32</v>
      </c>
      <c r="I38">
        <f t="shared" ref="I38:I39" si="6">SQRT(9.81*(0.002*(H38-G38))/F38*100)</f>
        <v>1.262586630691138</v>
      </c>
      <c r="J38">
        <v>0</v>
      </c>
      <c r="K38">
        <v>0</v>
      </c>
      <c r="L38">
        <f t="shared" si="5"/>
        <v>0</v>
      </c>
      <c r="M38" s="1" t="s">
        <v>203</v>
      </c>
      <c r="N38" t="s">
        <v>281</v>
      </c>
      <c r="O38" s="1" t="s">
        <v>45</v>
      </c>
      <c r="P38" t="s">
        <v>184</v>
      </c>
      <c r="Q38" t="s">
        <v>273</v>
      </c>
      <c r="R38" s="1" t="s">
        <v>45</v>
      </c>
      <c r="S38" t="s">
        <v>243</v>
      </c>
      <c r="T38" t="s">
        <v>282</v>
      </c>
      <c r="U38" s="1" t="s">
        <v>203</v>
      </c>
      <c r="V38" t="s">
        <v>106</v>
      </c>
      <c r="W38" s="1" t="s">
        <v>172</v>
      </c>
      <c r="Y38" t="s">
        <v>284</v>
      </c>
    </row>
    <row r="39" spans="1:25" x14ac:dyDescent="0.2">
      <c r="A39" s="16">
        <v>45471</v>
      </c>
      <c r="B39" t="s">
        <v>286</v>
      </c>
      <c r="C39" t="s">
        <v>171</v>
      </c>
      <c r="D39" t="s">
        <v>225</v>
      </c>
      <c r="E39" t="s">
        <v>182</v>
      </c>
      <c r="G39" t="s">
        <v>40</v>
      </c>
      <c r="H39" t="s">
        <v>40</v>
      </c>
      <c r="I39" t="e">
        <f t="shared" si="6"/>
        <v>#VALUE!</v>
      </c>
      <c r="J39">
        <v>40</v>
      </c>
      <c r="K39">
        <v>40</v>
      </c>
      <c r="L39">
        <f t="shared" si="5"/>
        <v>0.31415926535897931</v>
      </c>
      <c r="M39" s="1" t="s">
        <v>203</v>
      </c>
      <c r="N39" t="s">
        <v>226</v>
      </c>
      <c r="O39" s="1" t="s">
        <v>45</v>
      </c>
      <c r="P39" t="s">
        <v>184</v>
      </c>
      <c r="Q39" t="s">
        <v>242</v>
      </c>
      <c r="R39" s="1" t="s">
        <v>203</v>
      </c>
      <c r="T39" t="s">
        <v>106</v>
      </c>
      <c r="U39" s="1" t="s">
        <v>203</v>
      </c>
      <c r="V39" t="s">
        <v>245</v>
      </c>
      <c r="W39" s="1" t="s">
        <v>172</v>
      </c>
      <c r="Y39" t="s">
        <v>289</v>
      </c>
    </row>
    <row r="40" spans="1:25" x14ac:dyDescent="0.2">
      <c r="A40" s="16">
        <v>45471</v>
      </c>
      <c r="B40" t="s">
        <v>291</v>
      </c>
      <c r="C40" t="s">
        <v>171</v>
      </c>
      <c r="D40" t="s">
        <v>292</v>
      </c>
      <c r="E40" t="s">
        <v>182</v>
      </c>
      <c r="G40" t="s">
        <v>40</v>
      </c>
      <c r="H40" t="s">
        <v>40</v>
      </c>
      <c r="I40" t="e">
        <f t="shared" ref="I40:I42" si="7">SQRT(9.81*(0.002*(H40-G40))/F40*100)</f>
        <v>#VALUE!</v>
      </c>
      <c r="J40">
        <v>40</v>
      </c>
      <c r="K40">
        <v>40</v>
      </c>
      <c r="L40">
        <f t="shared" ref="L40:L41" si="8">IF(J40=0, ,2*(2*PI()/J40))</f>
        <v>0.31415926535897931</v>
      </c>
      <c r="M40" s="1" t="s">
        <v>203</v>
      </c>
      <c r="N40" t="s">
        <v>293</v>
      </c>
      <c r="O40" s="1" t="s">
        <v>45</v>
      </c>
      <c r="P40" t="s">
        <v>294</v>
      </c>
      <c r="Q40" t="s">
        <v>295</v>
      </c>
      <c r="R40" s="1" t="s">
        <v>45</v>
      </c>
      <c r="S40" t="s">
        <v>184</v>
      </c>
      <c r="T40" t="s">
        <v>296</v>
      </c>
      <c r="U40" s="1" t="s">
        <v>45</v>
      </c>
      <c r="V40" t="s">
        <v>245</v>
      </c>
      <c r="W40" s="1" t="s">
        <v>172</v>
      </c>
      <c r="Y40" t="s">
        <v>297</v>
      </c>
    </row>
    <row r="41" spans="1:25" x14ac:dyDescent="0.2">
      <c r="A41" s="16">
        <v>45474</v>
      </c>
      <c r="B41" t="s">
        <v>290</v>
      </c>
      <c r="C41" t="s">
        <v>299</v>
      </c>
      <c r="D41" t="s">
        <v>301</v>
      </c>
      <c r="E41" t="s">
        <v>274</v>
      </c>
      <c r="F41">
        <v>25</v>
      </c>
      <c r="G41">
        <v>26</v>
      </c>
      <c r="H41">
        <v>35</v>
      </c>
      <c r="I41">
        <f t="shared" si="7"/>
        <v>0.84042846215487021</v>
      </c>
      <c r="J41">
        <v>60</v>
      </c>
      <c r="K41">
        <v>60</v>
      </c>
      <c r="L41">
        <f t="shared" si="8"/>
        <v>0.20943951023931953</v>
      </c>
      <c r="M41" s="1" t="s">
        <v>41</v>
      </c>
      <c r="N41" t="s">
        <v>298</v>
      </c>
      <c r="O41" s="1" t="s">
        <v>45</v>
      </c>
      <c r="P41" t="s">
        <v>184</v>
      </c>
      <c r="Q41" t="s">
        <v>303</v>
      </c>
      <c r="R41" s="1" t="s">
        <v>45</v>
      </c>
      <c r="S41" t="s">
        <v>243</v>
      </c>
      <c r="T41" t="s">
        <v>282</v>
      </c>
      <c r="U41" s="1" t="s">
        <v>203</v>
      </c>
      <c r="V41" t="s">
        <v>106</v>
      </c>
      <c r="W41" s="1" t="s">
        <v>172</v>
      </c>
      <c r="Y41" t="s">
        <v>300</v>
      </c>
    </row>
    <row r="42" spans="1:25" x14ac:dyDescent="0.2">
      <c r="A42" s="16">
        <v>45475</v>
      </c>
      <c r="B42" t="s">
        <v>307</v>
      </c>
      <c r="C42" t="s">
        <v>299</v>
      </c>
      <c r="D42" t="s">
        <v>271</v>
      </c>
      <c r="E42" t="s">
        <v>274</v>
      </c>
      <c r="F42">
        <v>25</v>
      </c>
      <c r="G42">
        <v>20</v>
      </c>
      <c r="H42">
        <v>32</v>
      </c>
      <c r="I42">
        <f t="shared" si="7"/>
        <v>0.97044319771947496</v>
      </c>
      <c r="J42">
        <v>60</v>
      </c>
      <c r="K42">
        <v>60</v>
      </c>
      <c r="L42">
        <f t="shared" ref="L42:L43" si="9">IF(J42=0, ,2*(2*PI()/J42))</f>
        <v>0.20943951023931953</v>
      </c>
      <c r="M42" s="1" t="s">
        <v>41</v>
      </c>
      <c r="N42" t="s">
        <v>306</v>
      </c>
      <c r="O42" s="1" t="s">
        <v>203</v>
      </c>
      <c r="P42" t="s">
        <v>203</v>
      </c>
      <c r="Q42" t="s">
        <v>203</v>
      </c>
      <c r="R42" s="1" t="s">
        <v>203</v>
      </c>
      <c r="S42" t="s">
        <v>243</v>
      </c>
      <c r="T42" t="s">
        <v>106</v>
      </c>
      <c r="U42" s="1" t="s">
        <v>45</v>
      </c>
      <c r="V42" t="s">
        <v>305</v>
      </c>
      <c r="W42" s="1" t="s">
        <v>172</v>
      </c>
      <c r="Y42" t="s">
        <v>304</v>
      </c>
    </row>
    <row r="43" spans="1:25" x14ac:dyDescent="0.2">
      <c r="A43" s="16">
        <v>45476</v>
      </c>
      <c r="B43" t="s">
        <v>308</v>
      </c>
      <c r="C43" t="s">
        <v>299</v>
      </c>
      <c r="D43" t="s">
        <v>301</v>
      </c>
      <c r="E43" t="s">
        <v>274</v>
      </c>
      <c r="F43">
        <v>35</v>
      </c>
      <c r="G43">
        <v>20</v>
      </c>
      <c r="H43">
        <v>32</v>
      </c>
      <c r="I43">
        <f t="shared" ref="I43" si="10">SQRT(9.81*(0.002*(H43-G43))/F43*100)</f>
        <v>0.82017419752496135</v>
      </c>
      <c r="J43">
        <v>120</v>
      </c>
      <c r="K43">
        <v>120</v>
      </c>
      <c r="L43">
        <f t="shared" si="9"/>
        <v>0.10471975511965977</v>
      </c>
      <c r="M43" s="1" t="s">
        <v>41</v>
      </c>
      <c r="N43" t="s">
        <v>298</v>
      </c>
      <c r="O43" s="1" t="s">
        <v>45</v>
      </c>
      <c r="P43" t="s">
        <v>184</v>
      </c>
      <c r="Q43" t="s">
        <v>303</v>
      </c>
      <c r="R43" s="1" t="s">
        <v>45</v>
      </c>
      <c r="S43" t="s">
        <v>243</v>
      </c>
      <c r="T43" t="s">
        <v>282</v>
      </c>
      <c r="U43" s="1" t="s">
        <v>203</v>
      </c>
      <c r="V43" t="s">
        <v>106</v>
      </c>
      <c r="W43" s="1" t="s">
        <v>172</v>
      </c>
      <c r="Y43" t="s">
        <v>336</v>
      </c>
    </row>
    <row r="44" spans="1:25" x14ac:dyDescent="0.2">
      <c r="A44" s="16">
        <v>45479</v>
      </c>
      <c r="B44" t="s">
        <v>309</v>
      </c>
      <c r="C44" t="s">
        <v>316</v>
      </c>
      <c r="D44" t="s">
        <v>301</v>
      </c>
      <c r="E44" t="s">
        <v>274</v>
      </c>
      <c r="F44" t="s">
        <v>285</v>
      </c>
      <c r="G44" t="s">
        <v>285</v>
      </c>
      <c r="H44" t="s">
        <v>312</v>
      </c>
      <c r="I44" t="e">
        <f t="shared" ref="I44" si="11">SQRT(9.81*(0.002*(H44-G44))/F44*100)</f>
        <v>#VALUE!</v>
      </c>
      <c r="J44">
        <v>0</v>
      </c>
      <c r="K44">
        <v>0</v>
      </c>
      <c r="L44">
        <f t="shared" ref="L44" si="12">IF(J44=0, ,2*(2*PI()/J44))</f>
        <v>0</v>
      </c>
      <c r="M44" s="1" t="s">
        <v>41</v>
      </c>
      <c r="N44" t="s">
        <v>298</v>
      </c>
      <c r="O44" s="1" t="s">
        <v>45</v>
      </c>
      <c r="P44" t="s">
        <v>184</v>
      </c>
      <c r="Q44" t="s">
        <v>303</v>
      </c>
      <c r="R44" s="1" t="s">
        <v>45</v>
      </c>
      <c r="S44" t="s">
        <v>243</v>
      </c>
      <c r="T44" t="s">
        <v>282</v>
      </c>
      <c r="U44" s="1" t="s">
        <v>203</v>
      </c>
      <c r="V44" t="s">
        <v>106</v>
      </c>
      <c r="W44" s="1" t="s">
        <v>172</v>
      </c>
      <c r="Y44" t="s">
        <v>318</v>
      </c>
    </row>
    <row r="45" spans="1:25" x14ac:dyDescent="0.2">
      <c r="A45" s="16">
        <v>45482</v>
      </c>
      <c r="B45" t="s">
        <v>310</v>
      </c>
      <c r="C45" t="s">
        <v>311</v>
      </c>
      <c r="D45" t="s">
        <v>301</v>
      </c>
      <c r="E45" t="s">
        <v>274</v>
      </c>
      <c r="F45" t="s">
        <v>285</v>
      </c>
      <c r="G45" t="s">
        <v>285</v>
      </c>
      <c r="H45" t="s">
        <v>312</v>
      </c>
      <c r="I45" t="e">
        <f t="shared" ref="I45" si="13">SQRT(9.81*(0.002*(H45-G45))/F45*100)</f>
        <v>#VALUE!</v>
      </c>
      <c r="J45">
        <v>60</v>
      </c>
      <c r="K45">
        <v>60</v>
      </c>
      <c r="L45">
        <f t="shared" ref="L45" si="14">IF(J45=0, ,2*(2*PI()/J45))</f>
        <v>0.20943951023931953</v>
      </c>
      <c r="M45" s="1" t="s">
        <v>41</v>
      </c>
      <c r="N45" t="s">
        <v>298</v>
      </c>
      <c r="O45" s="1" t="s">
        <v>45</v>
      </c>
      <c r="P45" t="s">
        <v>184</v>
      </c>
      <c r="Q45" t="s">
        <v>303</v>
      </c>
      <c r="R45" s="1" t="s">
        <v>45</v>
      </c>
      <c r="S45" t="s">
        <v>243</v>
      </c>
      <c r="T45" t="s">
        <v>282</v>
      </c>
      <c r="U45" s="1" t="s">
        <v>203</v>
      </c>
      <c r="V45" t="s">
        <v>106</v>
      </c>
      <c r="W45" s="1" t="s">
        <v>172</v>
      </c>
      <c r="Y45" t="s">
        <v>319</v>
      </c>
    </row>
    <row r="46" spans="1:25" x14ac:dyDescent="0.2">
      <c r="A46" s="16">
        <v>45483</v>
      </c>
      <c r="B46" t="s">
        <v>320</v>
      </c>
      <c r="C46" t="s">
        <v>315</v>
      </c>
      <c r="D46" t="s">
        <v>301</v>
      </c>
      <c r="E46" t="s">
        <v>274</v>
      </c>
      <c r="G46" t="s">
        <v>285</v>
      </c>
      <c r="H46" t="s">
        <v>317</v>
      </c>
      <c r="J46">
        <v>0</v>
      </c>
      <c r="K46">
        <v>0</v>
      </c>
      <c r="L46">
        <f t="shared" ref="L46:L47" si="15">IF(J46=0, ,2*(2*PI()/J46))</f>
        <v>0</v>
      </c>
      <c r="M46" s="1" t="s">
        <v>45</v>
      </c>
      <c r="N46" t="s">
        <v>288</v>
      </c>
      <c r="O46" s="1" t="s">
        <v>45</v>
      </c>
      <c r="P46" t="s">
        <v>184</v>
      </c>
      <c r="Q46" t="s">
        <v>321</v>
      </c>
      <c r="R46" s="1" t="s">
        <v>203</v>
      </c>
      <c r="T46" t="s">
        <v>106</v>
      </c>
      <c r="U46" s="1" t="s">
        <v>203</v>
      </c>
      <c r="V46" t="s">
        <v>106</v>
      </c>
      <c r="W46" s="1" t="s">
        <v>172</v>
      </c>
    </row>
    <row r="47" spans="1:25" x14ac:dyDescent="0.2">
      <c r="A47" s="16">
        <v>45489</v>
      </c>
      <c r="B47" t="s">
        <v>313</v>
      </c>
      <c r="C47" t="s">
        <v>166</v>
      </c>
      <c r="D47" t="s">
        <v>301</v>
      </c>
      <c r="E47" t="s">
        <v>274</v>
      </c>
      <c r="F47" t="s">
        <v>285</v>
      </c>
      <c r="G47" t="s">
        <v>285</v>
      </c>
      <c r="H47" t="s">
        <v>285</v>
      </c>
      <c r="I47" t="e">
        <f t="shared" ref="I47" si="16">SQRT(9.81*(0.002*(H47-G47))/F47*100)</f>
        <v>#VALUE!</v>
      </c>
      <c r="J47">
        <v>0</v>
      </c>
      <c r="K47">
        <v>0</v>
      </c>
      <c r="L47">
        <f t="shared" si="15"/>
        <v>0</v>
      </c>
      <c r="M47" s="1" t="s">
        <v>324</v>
      </c>
      <c r="N47" t="s">
        <v>298</v>
      </c>
      <c r="O47" s="1" t="s">
        <v>45</v>
      </c>
      <c r="P47" t="s">
        <v>184</v>
      </c>
      <c r="Q47" t="s">
        <v>303</v>
      </c>
      <c r="R47" s="1" t="s">
        <v>45</v>
      </c>
      <c r="S47" t="s">
        <v>243</v>
      </c>
      <c r="T47" t="s">
        <v>302</v>
      </c>
      <c r="U47" s="1" t="s">
        <v>203</v>
      </c>
      <c r="V47" t="s">
        <v>106</v>
      </c>
      <c r="W47" s="1" t="s">
        <v>172</v>
      </c>
      <c r="Y47" t="s">
        <v>330</v>
      </c>
    </row>
    <row r="48" spans="1:25" x14ac:dyDescent="0.2">
      <c r="A48" s="16">
        <v>45489</v>
      </c>
      <c r="B48" t="s">
        <v>314</v>
      </c>
      <c r="C48" t="s">
        <v>166</v>
      </c>
      <c r="D48" t="s">
        <v>301</v>
      </c>
      <c r="E48" t="s">
        <v>274</v>
      </c>
      <c r="F48" t="s">
        <v>285</v>
      </c>
      <c r="G48" t="s">
        <v>285</v>
      </c>
      <c r="H48" t="s">
        <v>285</v>
      </c>
      <c r="I48" t="e">
        <f t="shared" ref="I48:I49" si="17">SQRT(9.81*(0.002*(H48-G48))/F48*100)</f>
        <v>#VALUE!</v>
      </c>
      <c r="J48">
        <v>40</v>
      </c>
      <c r="K48">
        <v>40</v>
      </c>
      <c r="L48">
        <f t="shared" ref="L48:L49" si="18">IF(J48=0, ,2*(2*PI()/J48))</f>
        <v>0.31415926535897931</v>
      </c>
      <c r="M48" s="1" t="s">
        <v>325</v>
      </c>
      <c r="N48" t="s">
        <v>298</v>
      </c>
      <c r="O48" s="1" t="s">
        <v>45</v>
      </c>
      <c r="P48" t="s">
        <v>184</v>
      </c>
      <c r="Q48" t="s">
        <v>303</v>
      </c>
      <c r="R48" s="1" t="s">
        <v>45</v>
      </c>
      <c r="S48" t="s">
        <v>243</v>
      </c>
      <c r="T48" t="s">
        <v>302</v>
      </c>
      <c r="U48" s="1" t="s">
        <v>203</v>
      </c>
      <c r="V48" t="s">
        <v>106</v>
      </c>
      <c r="W48" s="1" t="s">
        <v>172</v>
      </c>
      <c r="Y48" t="s">
        <v>328</v>
      </c>
    </row>
    <row r="49" spans="1:25" x14ac:dyDescent="0.2">
      <c r="A49" s="16">
        <v>45490</v>
      </c>
      <c r="B49" t="s">
        <v>326</v>
      </c>
      <c r="C49" t="s">
        <v>208</v>
      </c>
      <c r="D49" t="s">
        <v>301</v>
      </c>
      <c r="E49" t="s">
        <v>334</v>
      </c>
      <c r="F49" t="s">
        <v>285</v>
      </c>
      <c r="G49" t="s">
        <v>285</v>
      </c>
      <c r="H49" t="s">
        <v>285</v>
      </c>
      <c r="I49" t="e">
        <f t="shared" si="17"/>
        <v>#VALUE!</v>
      </c>
      <c r="J49">
        <v>0</v>
      </c>
      <c r="K49">
        <v>0</v>
      </c>
      <c r="L49">
        <f t="shared" si="18"/>
        <v>0</v>
      </c>
      <c r="M49" s="1" t="s">
        <v>322</v>
      </c>
      <c r="N49" t="s">
        <v>298</v>
      </c>
      <c r="O49" s="1" t="s">
        <v>45</v>
      </c>
      <c r="P49" t="s">
        <v>184</v>
      </c>
      <c r="Q49" t="s">
        <v>303</v>
      </c>
      <c r="R49" s="1" t="s">
        <v>45</v>
      </c>
      <c r="S49" t="s">
        <v>243</v>
      </c>
      <c r="T49" t="s">
        <v>302</v>
      </c>
      <c r="U49" s="1" t="s">
        <v>203</v>
      </c>
      <c r="V49" t="s">
        <v>106</v>
      </c>
      <c r="W49" s="1" t="s">
        <v>172</v>
      </c>
      <c r="Y49" t="s">
        <v>335</v>
      </c>
    </row>
    <row r="50" spans="1:25" x14ac:dyDescent="0.2">
      <c r="A50" s="16">
        <v>45491</v>
      </c>
      <c r="B50" t="s">
        <v>327</v>
      </c>
      <c r="C50" t="s">
        <v>299</v>
      </c>
      <c r="D50" t="s">
        <v>301</v>
      </c>
      <c r="E50" t="s">
        <v>274</v>
      </c>
      <c r="F50" t="s">
        <v>285</v>
      </c>
      <c r="G50" t="s">
        <v>285</v>
      </c>
      <c r="H50" t="s">
        <v>285</v>
      </c>
      <c r="I50" t="e">
        <f t="shared" ref="I50" si="19">SQRT(9.81*(0.002*(H50-G50))/F50*100)</f>
        <v>#VALUE!</v>
      </c>
      <c r="J50">
        <v>60</v>
      </c>
      <c r="K50">
        <v>60</v>
      </c>
      <c r="L50">
        <f t="shared" ref="L50" si="20">IF(J50=0, ,2*(2*PI()/J50))</f>
        <v>0.20943951023931953</v>
      </c>
      <c r="M50" s="1" t="s">
        <v>323</v>
      </c>
      <c r="N50" t="s">
        <v>298</v>
      </c>
      <c r="O50" s="1" t="s">
        <v>45</v>
      </c>
      <c r="P50" t="s">
        <v>184</v>
      </c>
      <c r="Q50" t="s">
        <v>303</v>
      </c>
      <c r="R50" s="1" t="s">
        <v>45</v>
      </c>
      <c r="S50" t="s">
        <v>243</v>
      </c>
      <c r="T50" t="s">
        <v>302</v>
      </c>
      <c r="U50" s="1" t="s">
        <v>203</v>
      </c>
      <c r="V50" t="s">
        <v>106</v>
      </c>
      <c r="W50" s="1" t="s">
        <v>172</v>
      </c>
    </row>
    <row r="51" spans="1:25" x14ac:dyDescent="0.2">
      <c r="A51" s="16">
        <v>45492</v>
      </c>
      <c r="B51" t="s">
        <v>329</v>
      </c>
      <c r="C51" t="s">
        <v>331</v>
      </c>
      <c r="D51" t="s">
        <v>339</v>
      </c>
      <c r="E51" t="s">
        <v>274</v>
      </c>
      <c r="F51" t="s">
        <v>285</v>
      </c>
      <c r="G51" t="s">
        <v>285</v>
      </c>
      <c r="H51" t="s">
        <v>285</v>
      </c>
      <c r="I51" t="e">
        <f t="shared" ref="I51" si="21">SQRT(9.81*(0.002*(H51-G51))/F51*100)</f>
        <v>#VALUE!</v>
      </c>
      <c r="J51">
        <v>60</v>
      </c>
      <c r="K51">
        <v>53</v>
      </c>
      <c r="L51">
        <f t="shared" ref="L51" si="22">IF(J51=0, ,2*(2*PI()/J51))</f>
        <v>0.20943951023931953</v>
      </c>
      <c r="M51" s="1" t="s">
        <v>203</v>
      </c>
      <c r="N51" t="s">
        <v>341</v>
      </c>
      <c r="O51" s="1" t="s">
        <v>45</v>
      </c>
      <c r="P51" t="s">
        <v>184</v>
      </c>
      <c r="Q51" t="s">
        <v>345</v>
      </c>
      <c r="R51" s="1" t="s">
        <v>45</v>
      </c>
      <c r="S51" t="s">
        <v>243</v>
      </c>
      <c r="T51" t="s">
        <v>344</v>
      </c>
      <c r="U51" s="1" t="s">
        <v>203</v>
      </c>
      <c r="V51" t="s">
        <v>106</v>
      </c>
      <c r="W51" s="1" t="s">
        <v>172</v>
      </c>
      <c r="Y51" t="s">
        <v>338</v>
      </c>
    </row>
    <row r="52" spans="1:25" x14ac:dyDescent="0.2">
      <c r="A52" s="16">
        <v>45495</v>
      </c>
      <c r="B52" t="s">
        <v>332</v>
      </c>
      <c r="C52" t="s">
        <v>331</v>
      </c>
      <c r="D52" t="s">
        <v>339</v>
      </c>
      <c r="E52" t="s">
        <v>274</v>
      </c>
      <c r="F52" t="s">
        <v>285</v>
      </c>
      <c r="G52" t="s">
        <v>285</v>
      </c>
      <c r="H52" t="s">
        <v>285</v>
      </c>
      <c r="I52" t="e">
        <f t="shared" ref="I52" si="23">SQRT(9.81*(0.002*(H52-G52))/F52*100)</f>
        <v>#VALUE!</v>
      </c>
      <c r="J52">
        <v>0</v>
      </c>
      <c r="K52">
        <v>455</v>
      </c>
      <c r="L52">
        <f t="shared" ref="L52" si="24">IF(J52=0, ,2*(2*PI()/J52))</f>
        <v>0</v>
      </c>
      <c r="M52" s="1" t="s">
        <v>203</v>
      </c>
      <c r="N52" t="s">
        <v>341</v>
      </c>
      <c r="O52" s="1" t="s">
        <v>45</v>
      </c>
      <c r="P52" t="s">
        <v>184</v>
      </c>
      <c r="Q52" t="s">
        <v>343</v>
      </c>
      <c r="R52" s="1" t="s">
        <v>45</v>
      </c>
      <c r="S52" t="s">
        <v>243</v>
      </c>
      <c r="T52" t="s">
        <v>344</v>
      </c>
      <c r="U52" s="1" t="s">
        <v>203</v>
      </c>
      <c r="V52" t="s">
        <v>106</v>
      </c>
      <c r="W52" s="1" t="s">
        <v>172</v>
      </c>
    </row>
    <row r="53" spans="1:25" x14ac:dyDescent="0.2">
      <c r="A53" s="16">
        <v>45497</v>
      </c>
      <c r="B53" t="s">
        <v>337</v>
      </c>
      <c r="C53" t="s">
        <v>299</v>
      </c>
      <c r="D53" t="s">
        <v>271</v>
      </c>
      <c r="E53" t="s">
        <v>274</v>
      </c>
      <c r="F53" t="s">
        <v>285</v>
      </c>
      <c r="G53" t="s">
        <v>285</v>
      </c>
      <c r="H53" t="s">
        <v>285</v>
      </c>
      <c r="I53" t="e">
        <f t="shared" ref="I53" si="25">SQRT(9.81*(0.002*(H53-G53))/F53*100)</f>
        <v>#VALUE!</v>
      </c>
      <c r="J53">
        <v>25</v>
      </c>
      <c r="K53">
        <v>25</v>
      </c>
      <c r="L53">
        <f t="shared" ref="L53" si="26">IF(J53=0, ,2*(2*PI()/J53))</f>
        <v>0.50265482457436694</v>
      </c>
      <c r="M53" s="1" t="s">
        <v>203</v>
      </c>
      <c r="N53" t="s">
        <v>306</v>
      </c>
      <c r="O53" s="1" t="s">
        <v>45</v>
      </c>
      <c r="P53" t="s">
        <v>184</v>
      </c>
      <c r="Q53" t="s">
        <v>340</v>
      </c>
      <c r="R53" s="1" t="s">
        <v>45</v>
      </c>
      <c r="S53" t="s">
        <v>243</v>
      </c>
      <c r="T53" t="s">
        <v>333</v>
      </c>
      <c r="U53" s="1" t="s">
        <v>45</v>
      </c>
      <c r="V53" t="s">
        <v>342</v>
      </c>
      <c r="W53" s="1" t="s">
        <v>172</v>
      </c>
    </row>
    <row r="54" spans="1:25" x14ac:dyDescent="0.2">
      <c r="A54" s="16">
        <v>45497</v>
      </c>
      <c r="B54" t="s">
        <v>351</v>
      </c>
      <c r="C54" t="s">
        <v>346</v>
      </c>
      <c r="D54" t="s">
        <v>271</v>
      </c>
      <c r="E54" t="s">
        <v>353</v>
      </c>
      <c r="F54" t="s">
        <v>285</v>
      </c>
      <c r="G54" t="s">
        <v>285</v>
      </c>
      <c r="H54" t="s">
        <v>285</v>
      </c>
      <c r="I54" t="e">
        <f t="shared" ref="I54" si="27">SQRT(9.81*(0.002*(H54-G54))/F54*100)</f>
        <v>#VALUE!</v>
      </c>
      <c r="J54">
        <v>0</v>
      </c>
      <c r="K54">
        <v>0</v>
      </c>
      <c r="L54">
        <f t="shared" ref="L54" si="28">IF(J54=0, ,2*(2*PI()/J54))</f>
        <v>0</v>
      </c>
      <c r="M54" s="1" t="s">
        <v>203</v>
      </c>
      <c r="N54" t="s">
        <v>347</v>
      </c>
      <c r="O54" s="1" t="s">
        <v>45</v>
      </c>
      <c r="P54" t="s">
        <v>184</v>
      </c>
      <c r="Q54" t="s">
        <v>348</v>
      </c>
      <c r="R54" s="1" t="s">
        <v>45</v>
      </c>
      <c r="S54" t="s">
        <v>243</v>
      </c>
      <c r="T54" t="s">
        <v>333</v>
      </c>
      <c r="U54" s="1" t="s">
        <v>45</v>
      </c>
      <c r="V54" t="s">
        <v>349</v>
      </c>
      <c r="W54" s="1" t="s">
        <v>172</v>
      </c>
      <c r="Y54" t="s">
        <v>350</v>
      </c>
    </row>
    <row r="55" spans="1:25" x14ac:dyDescent="0.2">
      <c r="A55" s="16">
        <v>45497</v>
      </c>
      <c r="B55" t="s">
        <v>355</v>
      </c>
      <c r="C55" t="s">
        <v>346</v>
      </c>
      <c r="D55" t="s">
        <v>271</v>
      </c>
      <c r="E55" t="s">
        <v>352</v>
      </c>
      <c r="G55" t="s">
        <v>40</v>
      </c>
      <c r="H55" t="s">
        <v>40</v>
      </c>
      <c r="I55" t="e">
        <f t="shared" ref="I55" si="29">SQRT(9.81*(0.002*(H55-G55))/F55*100)</f>
        <v>#VALUE!</v>
      </c>
      <c r="J55">
        <v>40</v>
      </c>
      <c r="K55">
        <v>40</v>
      </c>
      <c r="L55">
        <f t="shared" ref="L55" si="30">IF(J55=0, ,2*(2*PI()/J55))</f>
        <v>0.31415926535897931</v>
      </c>
      <c r="M55" s="1" t="s">
        <v>203</v>
      </c>
      <c r="N55" t="s">
        <v>356</v>
      </c>
      <c r="O55" s="1" t="s">
        <v>45</v>
      </c>
      <c r="P55" t="s">
        <v>184</v>
      </c>
      <c r="Q55" t="s">
        <v>348</v>
      </c>
      <c r="R55" s="1" t="s">
        <v>45</v>
      </c>
      <c r="S55" t="s">
        <v>243</v>
      </c>
      <c r="T55" t="s">
        <v>333</v>
      </c>
      <c r="U55" s="1" t="s">
        <v>45</v>
      </c>
      <c r="V55" t="s">
        <v>349</v>
      </c>
      <c r="W55" s="1" t="s">
        <v>172</v>
      </c>
      <c r="Y55" t="s">
        <v>354</v>
      </c>
    </row>
    <row r="56" spans="1:25" x14ac:dyDescent="0.2">
      <c r="A56" s="16">
        <v>45497</v>
      </c>
      <c r="B56" t="s">
        <v>360</v>
      </c>
      <c r="C56" t="s">
        <v>346</v>
      </c>
      <c r="D56" t="s">
        <v>271</v>
      </c>
      <c r="E56" t="s">
        <v>352</v>
      </c>
      <c r="G56" t="s">
        <v>40</v>
      </c>
      <c r="H56" t="s">
        <v>40</v>
      </c>
      <c r="I56" t="e">
        <f t="shared" ref="I56" si="31">SQRT(9.81*(0.002*(H56-G56))/F56*100)</f>
        <v>#VALUE!</v>
      </c>
      <c r="J56">
        <v>60</v>
      </c>
      <c r="K56">
        <v>60</v>
      </c>
      <c r="L56">
        <f t="shared" ref="L56" si="32">IF(J56=0, ,2*(2*PI()/J56))</f>
        <v>0.20943951023931953</v>
      </c>
      <c r="M56" s="1" t="s">
        <v>203</v>
      </c>
      <c r="N56" t="s">
        <v>347</v>
      </c>
      <c r="O56" s="1" t="s">
        <v>45</v>
      </c>
      <c r="P56" t="s">
        <v>184</v>
      </c>
      <c r="Q56" t="s">
        <v>348</v>
      </c>
      <c r="R56" s="1" t="s">
        <v>45</v>
      </c>
      <c r="S56" t="s">
        <v>243</v>
      </c>
      <c r="T56" t="s">
        <v>333</v>
      </c>
      <c r="U56" s="1" t="s">
        <v>45</v>
      </c>
      <c r="V56" t="s">
        <v>349</v>
      </c>
      <c r="W56" s="1" t="s">
        <v>172</v>
      </c>
      <c r="Y56" t="s">
        <v>357</v>
      </c>
    </row>
    <row r="57" spans="1:25" x14ac:dyDescent="0.2">
      <c r="A57" s="16">
        <v>45497</v>
      </c>
      <c r="B57" t="s">
        <v>361</v>
      </c>
      <c r="C57" t="s">
        <v>346</v>
      </c>
      <c r="D57" t="s">
        <v>271</v>
      </c>
      <c r="E57" t="s">
        <v>352</v>
      </c>
      <c r="G57" t="s">
        <v>40</v>
      </c>
      <c r="H57" t="s">
        <v>40</v>
      </c>
      <c r="I57" t="e">
        <f t="shared" ref="I57" si="33">SQRT(9.81*(0.002*(H57-G57))/F57*100)</f>
        <v>#VALUE!</v>
      </c>
      <c r="J57">
        <v>60</v>
      </c>
      <c r="K57">
        <v>60</v>
      </c>
      <c r="L57">
        <f t="shared" ref="L57" si="34">IF(J57=0, ,2*(2*PI()/J57))</f>
        <v>0.20943951023931953</v>
      </c>
      <c r="M57" s="1" t="s">
        <v>203</v>
      </c>
      <c r="N57" t="s">
        <v>358</v>
      </c>
      <c r="O57" s="1" t="s">
        <v>45</v>
      </c>
      <c r="P57" t="s">
        <v>184</v>
      </c>
      <c r="Q57" t="s">
        <v>348</v>
      </c>
      <c r="R57" s="1" t="s">
        <v>45</v>
      </c>
      <c r="S57" t="s">
        <v>243</v>
      </c>
      <c r="T57" t="s">
        <v>333</v>
      </c>
      <c r="U57" s="1" t="s">
        <v>45</v>
      </c>
      <c r="V57" t="s">
        <v>349</v>
      </c>
      <c r="W57" s="1" t="s">
        <v>172</v>
      </c>
      <c r="Y57" t="s">
        <v>359</v>
      </c>
    </row>
    <row r="59" spans="1:25" x14ac:dyDescent="0.2">
      <c r="C59">
        <f>94-44.5</f>
        <v>49.5</v>
      </c>
    </row>
  </sheetData>
  <mergeCells count="1">
    <mergeCell ref="A21:F21"/>
  </mergeCells>
  <conditionalFormatting sqref="M24:M40">
    <cfRule type="containsText" dxfId="101" priority="111" operator="containsText" text="NON">
      <formula>NOT(ISERROR(SEARCH("NON",M24)))</formula>
    </cfRule>
    <cfRule type="containsText" dxfId="100" priority="112" operator="containsText" text="OUI">
      <formula>NOT(ISERROR(SEARCH("OUI",M24)))</formula>
    </cfRule>
  </conditionalFormatting>
  <conditionalFormatting sqref="M46:M57">
    <cfRule type="containsText" dxfId="99" priority="3" operator="containsText" text="NON">
      <formula>NOT(ISERROR(SEARCH("NON",M46)))</formula>
    </cfRule>
    <cfRule type="containsText" dxfId="98" priority="4" operator="containsText" text="OUI">
      <formula>NOT(ISERROR(SEARCH("OUI",M46)))</formula>
    </cfRule>
  </conditionalFormatting>
  <conditionalFormatting sqref="O24:O57">
    <cfRule type="containsText" dxfId="97" priority="8" operator="containsText" text="OUI">
      <formula>NOT(ISERROR(SEARCH("OUI",O24)))</formula>
    </cfRule>
    <cfRule type="containsText" dxfId="96" priority="7" operator="containsText" text="NON">
      <formula>NOT(ISERROR(SEARCH("NON",O24)))</formula>
    </cfRule>
  </conditionalFormatting>
  <conditionalFormatting sqref="R24:R57">
    <cfRule type="containsText" dxfId="95" priority="6" operator="containsText" text="OUI">
      <formula>NOT(ISERROR(SEARCH("OUI",R24)))</formula>
    </cfRule>
    <cfRule type="containsText" dxfId="94" priority="5" operator="containsText" text="NON">
      <formula>NOT(ISERROR(SEARCH("NON",R24)))</formula>
    </cfRule>
  </conditionalFormatting>
  <conditionalFormatting sqref="U30">
    <cfRule type="containsText" dxfId="93" priority="154" operator="containsText" text="OUI">
      <formula>NOT(ISERROR(SEARCH("OUI",U30)))</formula>
    </cfRule>
    <cfRule type="containsText" dxfId="92" priority="153" operator="containsText" text="NON">
      <formula>NOT(ISERROR(SEARCH("NON",U30)))</formula>
    </cfRule>
  </conditionalFormatting>
  <conditionalFormatting sqref="U33:U35">
    <cfRule type="containsText" dxfId="91" priority="140" operator="containsText" text="OUI">
      <formula>NOT(ISERROR(SEARCH("OUI",U33)))</formula>
    </cfRule>
    <cfRule type="containsText" dxfId="90" priority="139" operator="containsText" text="NON">
      <formula>NOT(ISERROR(SEARCH("NON",U33)))</formula>
    </cfRule>
  </conditionalFormatting>
  <conditionalFormatting sqref="U37:U57">
    <cfRule type="containsText" dxfId="89" priority="2" operator="containsText" text="OUI">
      <formula>NOT(ISERROR(SEARCH("OUI",U37)))</formula>
    </cfRule>
    <cfRule type="containsText" dxfId="88" priority="1" operator="containsText" text="NON">
      <formula>NOT(ISERROR(SEARCH("NON",U37)))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Roman,Normal"&amp;Kffffff&amp;A</oddHeader>
    <oddFooter>&amp;C&amp;"Times New Roman,Normal"&amp;KffffffPage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5"/>
  <sheetViews>
    <sheetView zoomScaleNormal="100" workbookViewId="0">
      <selection activeCell="B2" sqref="B2"/>
    </sheetView>
  </sheetViews>
  <sheetFormatPr baseColWidth="10" defaultColWidth="10.6640625" defaultRowHeight="16" x14ac:dyDescent="0.2"/>
  <sheetData>
    <row r="1" spans="1:3" x14ac:dyDescent="0.2">
      <c r="A1" t="s">
        <v>22</v>
      </c>
    </row>
    <row r="2" spans="1:3" x14ac:dyDescent="0.2">
      <c r="A2">
        <v>6450</v>
      </c>
      <c r="B2">
        <f t="shared" ref="B2:B33" si="0">A2/1000</f>
        <v>6.45</v>
      </c>
      <c r="C2">
        <f t="shared" ref="C2:C33" si="1">2*PI()*B2</f>
        <v>40.526545231308333</v>
      </c>
    </row>
    <row r="3" spans="1:3" x14ac:dyDescent="0.2">
      <c r="A3">
        <v>6400</v>
      </c>
      <c r="B3">
        <f t="shared" si="0"/>
        <v>6.4</v>
      </c>
      <c r="C3">
        <f t="shared" si="1"/>
        <v>40.212385965949352</v>
      </c>
    </row>
    <row r="4" spans="1:3" x14ac:dyDescent="0.2">
      <c r="A4">
        <v>6350</v>
      </c>
      <c r="B4">
        <f t="shared" si="0"/>
        <v>6.35</v>
      </c>
      <c r="C4">
        <f t="shared" si="1"/>
        <v>39.898226700590371</v>
      </c>
    </row>
    <row r="5" spans="1:3" x14ac:dyDescent="0.2">
      <c r="A5">
        <v>6300</v>
      </c>
      <c r="B5">
        <f t="shared" si="0"/>
        <v>6.3</v>
      </c>
      <c r="C5">
        <f t="shared" si="1"/>
        <v>39.58406743523139</v>
      </c>
    </row>
    <row r="6" spans="1:3" x14ac:dyDescent="0.2">
      <c r="A6">
        <v>6250</v>
      </c>
      <c r="B6">
        <f t="shared" si="0"/>
        <v>6.25</v>
      </c>
      <c r="C6">
        <f t="shared" si="1"/>
        <v>39.269908169872416</v>
      </c>
    </row>
    <row r="7" spans="1:3" x14ac:dyDescent="0.2">
      <c r="A7">
        <v>6200</v>
      </c>
      <c r="B7">
        <f t="shared" si="0"/>
        <v>6.2</v>
      </c>
      <c r="C7">
        <f t="shared" si="1"/>
        <v>38.955748904513435</v>
      </c>
    </row>
    <row r="8" spans="1:3" x14ac:dyDescent="0.2">
      <c r="A8">
        <v>6150</v>
      </c>
      <c r="B8">
        <f t="shared" si="0"/>
        <v>6.15</v>
      </c>
      <c r="C8">
        <f t="shared" si="1"/>
        <v>38.641589639154461</v>
      </c>
    </row>
    <row r="9" spans="1:3" x14ac:dyDescent="0.2">
      <c r="A9">
        <v>6100</v>
      </c>
      <c r="B9">
        <f t="shared" si="0"/>
        <v>6.1</v>
      </c>
      <c r="C9">
        <f t="shared" si="1"/>
        <v>38.327430373795472</v>
      </c>
    </row>
    <row r="10" spans="1:3" x14ac:dyDescent="0.2">
      <c r="A10">
        <v>6050</v>
      </c>
      <c r="B10">
        <f t="shared" si="0"/>
        <v>6.05</v>
      </c>
      <c r="C10">
        <f t="shared" si="1"/>
        <v>38.013271108436498</v>
      </c>
    </row>
    <row r="11" spans="1:3" x14ac:dyDescent="0.2">
      <c r="A11">
        <v>6000</v>
      </c>
      <c r="B11">
        <f t="shared" si="0"/>
        <v>6</v>
      </c>
      <c r="C11">
        <f t="shared" si="1"/>
        <v>37.699111843077517</v>
      </c>
    </row>
    <row r="12" spans="1:3" x14ac:dyDescent="0.2">
      <c r="A12">
        <v>5950</v>
      </c>
      <c r="B12">
        <f t="shared" si="0"/>
        <v>5.95</v>
      </c>
      <c r="C12">
        <f t="shared" si="1"/>
        <v>37.384952577718536</v>
      </c>
    </row>
    <row r="13" spans="1:3" x14ac:dyDescent="0.2">
      <c r="A13">
        <v>5900</v>
      </c>
      <c r="B13">
        <f t="shared" si="0"/>
        <v>5.9</v>
      </c>
      <c r="C13">
        <f t="shared" si="1"/>
        <v>37.070793312359562</v>
      </c>
    </row>
    <row r="14" spans="1:3" x14ac:dyDescent="0.2">
      <c r="A14">
        <v>5850</v>
      </c>
      <c r="B14">
        <f t="shared" si="0"/>
        <v>5.85</v>
      </c>
      <c r="C14">
        <f t="shared" si="1"/>
        <v>36.756634047000574</v>
      </c>
    </row>
    <row r="15" spans="1:3" x14ac:dyDescent="0.2">
      <c r="A15">
        <v>5800</v>
      </c>
      <c r="B15">
        <f t="shared" si="0"/>
        <v>5.8</v>
      </c>
      <c r="C15">
        <f t="shared" si="1"/>
        <v>36.4424747816416</v>
      </c>
    </row>
    <row r="16" spans="1:3" x14ac:dyDescent="0.2">
      <c r="A16">
        <v>5750</v>
      </c>
      <c r="B16">
        <f t="shared" si="0"/>
        <v>5.75</v>
      </c>
      <c r="C16">
        <f t="shared" si="1"/>
        <v>36.128315516282619</v>
      </c>
    </row>
    <row r="17" spans="1:3" x14ac:dyDescent="0.2">
      <c r="A17">
        <v>5700</v>
      </c>
      <c r="B17">
        <f t="shared" si="0"/>
        <v>5.7</v>
      </c>
      <c r="C17">
        <f t="shared" si="1"/>
        <v>35.814156250923645</v>
      </c>
    </row>
    <row r="18" spans="1:3" x14ac:dyDescent="0.2">
      <c r="A18">
        <v>5650</v>
      </c>
      <c r="B18">
        <f t="shared" si="0"/>
        <v>5.65</v>
      </c>
      <c r="C18">
        <f t="shared" si="1"/>
        <v>35.499996985564664</v>
      </c>
    </row>
    <row r="19" spans="1:3" x14ac:dyDescent="0.2">
      <c r="A19">
        <v>5600</v>
      </c>
      <c r="B19">
        <f t="shared" si="0"/>
        <v>5.6</v>
      </c>
      <c r="C19">
        <f t="shared" si="1"/>
        <v>35.185837720205683</v>
      </c>
    </row>
    <row r="20" spans="1:3" x14ac:dyDescent="0.2">
      <c r="A20">
        <v>5550</v>
      </c>
      <c r="B20">
        <f t="shared" si="0"/>
        <v>5.55</v>
      </c>
      <c r="C20">
        <f t="shared" si="1"/>
        <v>34.871678454846702</v>
      </c>
    </row>
    <row r="21" spans="1:3" x14ac:dyDescent="0.2">
      <c r="A21">
        <v>5500</v>
      </c>
      <c r="B21">
        <f t="shared" si="0"/>
        <v>5.5</v>
      </c>
      <c r="C21">
        <f t="shared" si="1"/>
        <v>34.557519189487721</v>
      </c>
    </row>
    <row r="22" spans="1:3" x14ac:dyDescent="0.2">
      <c r="A22">
        <v>5450</v>
      </c>
      <c r="B22">
        <f t="shared" si="0"/>
        <v>5.45</v>
      </c>
      <c r="C22">
        <f t="shared" si="1"/>
        <v>34.243359924128747</v>
      </c>
    </row>
    <row r="23" spans="1:3" x14ac:dyDescent="0.2">
      <c r="A23">
        <v>5400</v>
      </c>
      <c r="B23">
        <f t="shared" si="0"/>
        <v>5.4</v>
      </c>
      <c r="C23">
        <f t="shared" si="1"/>
        <v>33.929200658769766</v>
      </c>
    </row>
    <row r="24" spans="1:3" x14ac:dyDescent="0.2">
      <c r="A24">
        <v>5350</v>
      </c>
      <c r="B24">
        <f t="shared" si="0"/>
        <v>5.35</v>
      </c>
      <c r="C24">
        <f t="shared" si="1"/>
        <v>33.615041393410785</v>
      </c>
    </row>
    <row r="25" spans="1:3" x14ac:dyDescent="0.2">
      <c r="A25">
        <v>5300</v>
      </c>
      <c r="B25">
        <f t="shared" si="0"/>
        <v>5.3</v>
      </c>
      <c r="C25">
        <f t="shared" si="1"/>
        <v>33.300882128051803</v>
      </c>
    </row>
    <row r="26" spans="1:3" x14ac:dyDescent="0.2">
      <c r="A26">
        <v>5250</v>
      </c>
      <c r="B26">
        <f t="shared" si="0"/>
        <v>5.25</v>
      </c>
      <c r="C26">
        <f t="shared" si="1"/>
        <v>32.986722862692829</v>
      </c>
    </row>
    <row r="27" spans="1:3" x14ac:dyDescent="0.2">
      <c r="A27">
        <v>5200</v>
      </c>
      <c r="B27">
        <f t="shared" si="0"/>
        <v>5.2</v>
      </c>
      <c r="C27">
        <f t="shared" si="1"/>
        <v>32.672563597333848</v>
      </c>
    </row>
    <row r="28" spans="1:3" x14ac:dyDescent="0.2">
      <c r="A28">
        <v>5150</v>
      </c>
      <c r="B28">
        <f t="shared" si="0"/>
        <v>5.15</v>
      </c>
      <c r="C28">
        <f t="shared" si="1"/>
        <v>32.358404331974874</v>
      </c>
    </row>
    <row r="29" spans="1:3" x14ac:dyDescent="0.2">
      <c r="A29">
        <v>5100</v>
      </c>
      <c r="B29">
        <f t="shared" si="0"/>
        <v>5.0999999999999996</v>
      </c>
      <c r="C29">
        <f t="shared" si="1"/>
        <v>32.044245066615886</v>
      </c>
    </row>
    <row r="30" spans="1:3" x14ac:dyDescent="0.2">
      <c r="A30">
        <v>5050</v>
      </c>
      <c r="B30">
        <f t="shared" si="0"/>
        <v>5.05</v>
      </c>
      <c r="C30">
        <f t="shared" si="1"/>
        <v>31.730085801256909</v>
      </c>
    </row>
    <row r="31" spans="1:3" x14ac:dyDescent="0.2">
      <c r="A31">
        <v>5000</v>
      </c>
      <c r="B31">
        <f t="shared" si="0"/>
        <v>5</v>
      </c>
      <c r="C31">
        <f t="shared" si="1"/>
        <v>31.415926535897931</v>
      </c>
    </row>
    <row r="32" spans="1:3" x14ac:dyDescent="0.2">
      <c r="A32">
        <v>4950</v>
      </c>
      <c r="B32">
        <f t="shared" si="0"/>
        <v>4.95</v>
      </c>
      <c r="C32">
        <f t="shared" si="1"/>
        <v>31.101767270538954</v>
      </c>
    </row>
    <row r="33" spans="1:3" x14ac:dyDescent="0.2">
      <c r="A33">
        <v>4900</v>
      </c>
      <c r="B33">
        <f t="shared" si="0"/>
        <v>4.9000000000000004</v>
      </c>
      <c r="C33">
        <f t="shared" si="1"/>
        <v>30.787608005179976</v>
      </c>
    </row>
    <row r="34" spans="1:3" x14ac:dyDescent="0.2">
      <c r="A34">
        <v>4850</v>
      </c>
      <c r="B34">
        <f t="shared" ref="B34:B65" si="2">A34/1000</f>
        <v>4.8499999999999996</v>
      </c>
      <c r="C34">
        <f t="shared" ref="C34:C65" si="3">2*PI()*B34</f>
        <v>30.473448739820991</v>
      </c>
    </row>
    <row r="35" spans="1:3" x14ac:dyDescent="0.2">
      <c r="A35">
        <v>4800</v>
      </c>
      <c r="B35">
        <f t="shared" si="2"/>
        <v>4.8</v>
      </c>
      <c r="C35">
        <f t="shared" si="3"/>
        <v>30.159289474462014</v>
      </c>
    </row>
    <row r="36" spans="1:3" x14ac:dyDescent="0.2">
      <c r="A36">
        <v>4750</v>
      </c>
      <c r="B36">
        <f t="shared" si="2"/>
        <v>4.75</v>
      </c>
      <c r="C36">
        <f t="shared" si="3"/>
        <v>29.845130209103033</v>
      </c>
    </row>
    <row r="37" spans="1:3" x14ac:dyDescent="0.2">
      <c r="A37">
        <v>4700</v>
      </c>
      <c r="B37">
        <f t="shared" si="2"/>
        <v>4.7</v>
      </c>
      <c r="C37">
        <f t="shared" si="3"/>
        <v>29.530970943744055</v>
      </c>
    </row>
    <row r="38" spans="1:3" x14ac:dyDescent="0.2">
      <c r="A38">
        <v>4650</v>
      </c>
      <c r="B38">
        <f t="shared" si="2"/>
        <v>4.6500000000000004</v>
      </c>
      <c r="C38">
        <f t="shared" si="3"/>
        <v>29.216811678385078</v>
      </c>
    </row>
    <row r="39" spans="1:3" x14ac:dyDescent="0.2">
      <c r="A39">
        <v>4600</v>
      </c>
      <c r="B39">
        <f t="shared" si="2"/>
        <v>4.5999999999999996</v>
      </c>
      <c r="C39">
        <f t="shared" si="3"/>
        <v>28.902652413026093</v>
      </c>
    </row>
    <row r="40" spans="1:3" x14ac:dyDescent="0.2">
      <c r="A40">
        <v>4550</v>
      </c>
      <c r="B40">
        <f t="shared" si="2"/>
        <v>4.55</v>
      </c>
      <c r="C40">
        <f t="shared" si="3"/>
        <v>28.588493147667116</v>
      </c>
    </row>
    <row r="41" spans="1:3" x14ac:dyDescent="0.2">
      <c r="A41">
        <v>4500</v>
      </c>
      <c r="B41">
        <f t="shared" si="2"/>
        <v>4.5</v>
      </c>
      <c r="C41">
        <f t="shared" si="3"/>
        <v>28.274333882308138</v>
      </c>
    </row>
    <row r="42" spans="1:3" x14ac:dyDescent="0.2">
      <c r="A42">
        <v>4450</v>
      </c>
      <c r="B42">
        <f t="shared" si="2"/>
        <v>4.45</v>
      </c>
      <c r="C42">
        <f t="shared" si="3"/>
        <v>27.960174616949161</v>
      </c>
    </row>
    <row r="43" spans="1:3" x14ac:dyDescent="0.2">
      <c r="A43">
        <v>4400</v>
      </c>
      <c r="B43">
        <f t="shared" si="2"/>
        <v>4.4000000000000004</v>
      </c>
      <c r="C43">
        <f t="shared" si="3"/>
        <v>27.646015351590183</v>
      </c>
    </row>
    <row r="44" spans="1:3" x14ac:dyDescent="0.2">
      <c r="A44">
        <v>4350</v>
      </c>
      <c r="B44">
        <f t="shared" si="2"/>
        <v>4.3499999999999996</v>
      </c>
      <c r="C44">
        <f t="shared" si="3"/>
        <v>27.331856086231198</v>
      </c>
    </row>
    <row r="45" spans="1:3" x14ac:dyDescent="0.2">
      <c r="A45">
        <v>4300</v>
      </c>
      <c r="B45">
        <f t="shared" si="2"/>
        <v>4.3</v>
      </c>
      <c r="C45">
        <f t="shared" si="3"/>
        <v>27.017696820872221</v>
      </c>
    </row>
    <row r="46" spans="1:3" x14ac:dyDescent="0.2">
      <c r="A46">
        <v>4250</v>
      </c>
      <c r="B46">
        <f t="shared" si="2"/>
        <v>4.25</v>
      </c>
      <c r="C46">
        <f t="shared" si="3"/>
        <v>26.703537555513243</v>
      </c>
    </row>
    <row r="47" spans="1:3" x14ac:dyDescent="0.2">
      <c r="A47">
        <v>4200</v>
      </c>
      <c r="B47">
        <f t="shared" si="2"/>
        <v>4.2</v>
      </c>
      <c r="C47">
        <f t="shared" si="3"/>
        <v>26.389378290154262</v>
      </c>
    </row>
    <row r="48" spans="1:3" x14ac:dyDescent="0.2">
      <c r="A48">
        <v>4150</v>
      </c>
      <c r="B48">
        <f t="shared" si="2"/>
        <v>4.1500000000000004</v>
      </c>
      <c r="C48">
        <f t="shared" si="3"/>
        <v>26.075219024795285</v>
      </c>
    </row>
    <row r="49" spans="1:3" x14ac:dyDescent="0.2">
      <c r="A49">
        <v>4100</v>
      </c>
      <c r="B49">
        <f t="shared" si="2"/>
        <v>4.0999999999999996</v>
      </c>
      <c r="C49">
        <f t="shared" si="3"/>
        <v>25.7610597594363</v>
      </c>
    </row>
    <row r="50" spans="1:3" x14ac:dyDescent="0.2">
      <c r="A50">
        <v>4050</v>
      </c>
      <c r="B50">
        <f t="shared" si="2"/>
        <v>4.05</v>
      </c>
      <c r="C50">
        <f t="shared" si="3"/>
        <v>25.446900494077322</v>
      </c>
    </row>
    <row r="51" spans="1:3" x14ac:dyDescent="0.2">
      <c r="A51">
        <v>4000</v>
      </c>
      <c r="B51">
        <f t="shared" si="2"/>
        <v>4</v>
      </c>
      <c r="C51">
        <f t="shared" si="3"/>
        <v>25.132741228718345</v>
      </c>
    </row>
    <row r="52" spans="1:3" x14ac:dyDescent="0.2">
      <c r="A52">
        <v>3950</v>
      </c>
      <c r="B52">
        <f t="shared" si="2"/>
        <v>3.95</v>
      </c>
      <c r="C52">
        <f t="shared" si="3"/>
        <v>24.818581963359367</v>
      </c>
    </row>
    <row r="53" spans="1:3" x14ac:dyDescent="0.2">
      <c r="A53">
        <v>3900</v>
      </c>
      <c r="B53">
        <f t="shared" si="2"/>
        <v>3.9</v>
      </c>
      <c r="C53">
        <f t="shared" si="3"/>
        <v>24.504422698000386</v>
      </c>
    </row>
    <row r="54" spans="1:3" x14ac:dyDescent="0.2">
      <c r="A54">
        <v>3850</v>
      </c>
      <c r="B54">
        <f t="shared" si="2"/>
        <v>3.85</v>
      </c>
      <c r="C54">
        <f t="shared" si="3"/>
        <v>24.190263432641409</v>
      </c>
    </row>
    <row r="55" spans="1:3" x14ac:dyDescent="0.2">
      <c r="A55">
        <v>3800</v>
      </c>
      <c r="B55">
        <f t="shared" si="2"/>
        <v>3.8</v>
      </c>
      <c r="C55">
        <f t="shared" si="3"/>
        <v>23.876104167282428</v>
      </c>
    </row>
    <row r="56" spans="1:3" x14ac:dyDescent="0.2">
      <c r="A56">
        <v>3750</v>
      </c>
      <c r="B56">
        <f t="shared" si="2"/>
        <v>3.75</v>
      </c>
      <c r="C56">
        <f t="shared" si="3"/>
        <v>23.561944901923447</v>
      </c>
    </row>
    <row r="57" spans="1:3" x14ac:dyDescent="0.2">
      <c r="A57">
        <v>3700</v>
      </c>
      <c r="B57">
        <f t="shared" si="2"/>
        <v>3.7</v>
      </c>
      <c r="C57">
        <f t="shared" si="3"/>
        <v>23.247785636564469</v>
      </c>
    </row>
    <row r="58" spans="1:3" x14ac:dyDescent="0.2">
      <c r="A58">
        <v>3650</v>
      </c>
      <c r="B58">
        <f t="shared" si="2"/>
        <v>3.65</v>
      </c>
      <c r="C58">
        <f t="shared" si="3"/>
        <v>22.933626371205488</v>
      </c>
    </row>
    <row r="59" spans="1:3" x14ac:dyDescent="0.2">
      <c r="A59">
        <v>3600</v>
      </c>
      <c r="B59">
        <f t="shared" si="2"/>
        <v>3.6</v>
      </c>
      <c r="C59">
        <f t="shared" si="3"/>
        <v>22.61946710584651</v>
      </c>
    </row>
    <row r="60" spans="1:3" x14ac:dyDescent="0.2">
      <c r="A60">
        <v>3550</v>
      </c>
      <c r="B60">
        <f t="shared" si="2"/>
        <v>3.55</v>
      </c>
      <c r="C60">
        <f t="shared" si="3"/>
        <v>22.305307840487529</v>
      </c>
    </row>
    <row r="61" spans="1:3" x14ac:dyDescent="0.2">
      <c r="A61">
        <v>3500</v>
      </c>
      <c r="B61">
        <f t="shared" si="2"/>
        <v>3.5</v>
      </c>
      <c r="C61">
        <f t="shared" si="3"/>
        <v>21.991148575128552</v>
      </c>
    </row>
    <row r="62" spans="1:3" x14ac:dyDescent="0.2">
      <c r="A62">
        <v>3450</v>
      </c>
      <c r="B62">
        <f t="shared" si="2"/>
        <v>3.45</v>
      </c>
      <c r="C62">
        <f t="shared" si="3"/>
        <v>21.676989309769574</v>
      </c>
    </row>
    <row r="63" spans="1:3" x14ac:dyDescent="0.2">
      <c r="A63">
        <v>3400</v>
      </c>
      <c r="B63">
        <f t="shared" si="2"/>
        <v>3.4</v>
      </c>
      <c r="C63">
        <f t="shared" si="3"/>
        <v>21.362830044410593</v>
      </c>
    </row>
    <row r="64" spans="1:3" x14ac:dyDescent="0.2">
      <c r="A64">
        <v>3350</v>
      </c>
      <c r="B64">
        <f t="shared" si="2"/>
        <v>3.35</v>
      </c>
      <c r="C64">
        <f t="shared" si="3"/>
        <v>21.048670779051616</v>
      </c>
    </row>
    <row r="65" spans="1:3" x14ac:dyDescent="0.2">
      <c r="A65">
        <v>3300</v>
      </c>
      <c r="B65">
        <f t="shared" si="2"/>
        <v>3.3</v>
      </c>
      <c r="C65">
        <f t="shared" si="3"/>
        <v>20.734511513692635</v>
      </c>
    </row>
    <row r="66" spans="1:3" x14ac:dyDescent="0.2">
      <c r="A66">
        <v>3250</v>
      </c>
      <c r="B66">
        <f t="shared" ref="B66:B75" si="4">A66/1000</f>
        <v>3.25</v>
      </c>
      <c r="C66">
        <f t="shared" ref="C66:C75" si="5">2*PI()*B66</f>
        <v>20.420352248333657</v>
      </c>
    </row>
    <row r="67" spans="1:3" x14ac:dyDescent="0.2">
      <c r="A67">
        <v>3200</v>
      </c>
      <c r="B67">
        <f t="shared" si="4"/>
        <v>3.2</v>
      </c>
      <c r="C67">
        <f t="shared" si="5"/>
        <v>20.106192982974676</v>
      </c>
    </row>
    <row r="68" spans="1:3" x14ac:dyDescent="0.2">
      <c r="A68">
        <v>3150</v>
      </c>
      <c r="B68">
        <f t="shared" si="4"/>
        <v>3.15</v>
      </c>
      <c r="C68">
        <f t="shared" si="5"/>
        <v>19.792033717615695</v>
      </c>
    </row>
    <row r="69" spans="1:3" x14ac:dyDescent="0.2">
      <c r="A69">
        <v>3100</v>
      </c>
      <c r="B69">
        <f t="shared" si="4"/>
        <v>3.1</v>
      </c>
      <c r="C69">
        <f t="shared" si="5"/>
        <v>19.477874452256717</v>
      </c>
    </row>
    <row r="70" spans="1:3" x14ac:dyDescent="0.2">
      <c r="A70">
        <v>3050</v>
      </c>
      <c r="B70">
        <f t="shared" si="4"/>
        <v>3.05</v>
      </c>
      <c r="C70">
        <f t="shared" si="5"/>
        <v>19.163715186897736</v>
      </c>
    </row>
    <row r="71" spans="1:3" x14ac:dyDescent="0.2">
      <c r="A71">
        <v>3000</v>
      </c>
      <c r="B71">
        <f t="shared" si="4"/>
        <v>3</v>
      </c>
      <c r="C71">
        <f t="shared" si="5"/>
        <v>18.849555921538759</v>
      </c>
    </row>
    <row r="72" spans="1:3" x14ac:dyDescent="0.2">
      <c r="A72">
        <v>2950</v>
      </c>
      <c r="B72">
        <f t="shared" si="4"/>
        <v>2.95</v>
      </c>
      <c r="C72">
        <f t="shared" si="5"/>
        <v>18.535396656179781</v>
      </c>
    </row>
    <row r="73" spans="1:3" x14ac:dyDescent="0.2">
      <c r="A73">
        <v>2900</v>
      </c>
      <c r="B73">
        <f t="shared" si="4"/>
        <v>2.9</v>
      </c>
      <c r="C73">
        <f t="shared" si="5"/>
        <v>18.2212373908208</v>
      </c>
    </row>
    <row r="74" spans="1:3" x14ac:dyDescent="0.2">
      <c r="A74">
        <v>2850</v>
      </c>
      <c r="B74">
        <f t="shared" si="4"/>
        <v>2.85</v>
      </c>
      <c r="C74">
        <f t="shared" si="5"/>
        <v>17.907078125461823</v>
      </c>
    </row>
    <row r="75" spans="1:3" x14ac:dyDescent="0.2">
      <c r="A75">
        <v>2800</v>
      </c>
      <c r="B75">
        <f t="shared" si="4"/>
        <v>2.8</v>
      </c>
      <c r="C75">
        <f t="shared" si="5"/>
        <v>17.592918860102841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4041-39EA-48B3-8A4B-C463F2E6FD52}">
  <dimension ref="A1:X48"/>
  <sheetViews>
    <sheetView workbookViewId="0">
      <selection activeCell="J26" sqref="J26"/>
    </sheetView>
  </sheetViews>
  <sheetFormatPr baseColWidth="10" defaultRowHeight="16" x14ac:dyDescent="0.2"/>
  <sheetData>
    <row r="1" spans="1:24" x14ac:dyDescent="0.2">
      <c r="A1" s="25"/>
      <c r="B1" s="26"/>
      <c r="C1" s="26"/>
      <c r="D1" s="26"/>
      <c r="E1" s="26"/>
      <c r="F1" s="26" t="s">
        <v>186</v>
      </c>
      <c r="G1" s="26" t="s">
        <v>187</v>
      </c>
      <c r="H1" s="26" t="s">
        <v>188</v>
      </c>
      <c r="I1" s="26" t="s">
        <v>188</v>
      </c>
      <c r="J1" s="26" t="s">
        <v>189</v>
      </c>
      <c r="K1" s="26" t="s">
        <v>190</v>
      </c>
      <c r="L1" s="26" t="s">
        <v>191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x14ac:dyDescent="0.2">
      <c r="B2" t="s">
        <v>192</v>
      </c>
    </row>
    <row r="3" spans="1:24" x14ac:dyDescent="0.2">
      <c r="B3" t="s">
        <v>193</v>
      </c>
      <c r="V3" t="s">
        <v>194</v>
      </c>
    </row>
    <row r="4" spans="1:24" x14ac:dyDescent="0.2">
      <c r="B4" t="s">
        <v>195</v>
      </c>
    </row>
    <row r="5" spans="1:24" x14ac:dyDescent="0.2">
      <c r="B5" t="s">
        <v>196</v>
      </c>
    </row>
    <row r="6" spans="1:24" x14ac:dyDescent="0.2">
      <c r="B6" t="s">
        <v>197</v>
      </c>
    </row>
    <row r="7" spans="1:24" x14ac:dyDescent="0.2">
      <c r="A7" s="27" t="s">
        <v>88</v>
      </c>
      <c r="B7" s="27" t="s">
        <v>198</v>
      </c>
      <c r="C7" s="27" t="s">
        <v>10</v>
      </c>
      <c r="D7" s="27" t="s">
        <v>155</v>
      </c>
      <c r="E7" s="28" t="s">
        <v>16</v>
      </c>
      <c r="F7" s="28" t="s">
        <v>156</v>
      </c>
      <c r="G7" s="28" t="s">
        <v>17</v>
      </c>
      <c r="H7" s="28" t="s">
        <v>18</v>
      </c>
      <c r="I7" s="28" t="s">
        <v>21</v>
      </c>
      <c r="J7" s="27" t="s">
        <v>13</v>
      </c>
      <c r="K7" s="27" t="s">
        <v>89</v>
      </c>
      <c r="L7" s="28" t="s">
        <v>157</v>
      </c>
      <c r="M7" s="28"/>
      <c r="N7" s="27" t="s">
        <v>158</v>
      </c>
      <c r="O7" s="28" t="s">
        <v>159</v>
      </c>
      <c r="P7" s="28" t="s">
        <v>160</v>
      </c>
      <c r="Q7" s="28" t="s">
        <v>161</v>
      </c>
      <c r="R7" s="28" t="s">
        <v>162</v>
      </c>
      <c r="S7" s="28" t="s">
        <v>163</v>
      </c>
      <c r="T7" s="28" t="s">
        <v>199</v>
      </c>
      <c r="U7" s="27"/>
      <c r="V7" s="27" t="s">
        <v>97</v>
      </c>
      <c r="W7" s="28" t="s">
        <v>24</v>
      </c>
      <c r="X7" s="28" t="s">
        <v>165</v>
      </c>
    </row>
    <row r="8" spans="1:24" x14ac:dyDescent="0.2">
      <c r="A8" t="s">
        <v>200</v>
      </c>
      <c r="I8" t="e">
        <f>SQRT(9.81*(0.002*(H8-G8))/E8*100)</f>
        <v>#DIV/0!</v>
      </c>
      <c r="L8">
        <f t="shared" ref="L8:L29" si="0">IF(J8=0, ,2*(2*PI()/J8))</f>
        <v>0</v>
      </c>
    </row>
    <row r="9" spans="1:24" x14ac:dyDescent="0.2">
      <c r="A9" t="s">
        <v>12</v>
      </c>
      <c r="B9" t="s">
        <v>201</v>
      </c>
      <c r="C9" t="s">
        <v>83</v>
      </c>
      <c r="E9">
        <v>50</v>
      </c>
      <c r="G9">
        <v>0</v>
      </c>
      <c r="H9">
        <v>0</v>
      </c>
      <c r="I9">
        <f>SQRT(9.81*(0.002*(H9-G9))/E9*100)</f>
        <v>0</v>
      </c>
      <c r="J9">
        <v>0</v>
      </c>
      <c r="K9">
        <v>0</v>
      </c>
      <c r="L9">
        <f t="shared" si="0"/>
        <v>0</v>
      </c>
      <c r="N9" t="s">
        <v>202</v>
      </c>
      <c r="O9" s="1" t="s">
        <v>45</v>
      </c>
      <c r="P9" t="s">
        <v>104</v>
      </c>
      <c r="Q9" t="s">
        <v>168</v>
      </c>
      <c r="R9" s="1" t="s">
        <v>45</v>
      </c>
      <c r="S9" t="s">
        <v>130</v>
      </c>
      <c r="T9" t="s">
        <v>169</v>
      </c>
      <c r="V9" s="1" t="s">
        <v>151</v>
      </c>
      <c r="W9" t="s">
        <v>203</v>
      </c>
    </row>
    <row r="10" spans="1:24" x14ac:dyDescent="0.2">
      <c r="B10" t="s">
        <v>201</v>
      </c>
      <c r="C10" t="s">
        <v>84</v>
      </c>
      <c r="E10">
        <v>50</v>
      </c>
      <c r="G10">
        <v>0</v>
      </c>
      <c r="H10">
        <v>0</v>
      </c>
      <c r="I10">
        <f>SQRT(9.81*(0.002*(H10-G10))/E10*100)</f>
        <v>0</v>
      </c>
      <c r="J10">
        <v>0</v>
      </c>
      <c r="K10">
        <v>0</v>
      </c>
      <c r="L10">
        <f t="shared" si="0"/>
        <v>0</v>
      </c>
      <c r="N10" t="s">
        <v>202</v>
      </c>
      <c r="O10" s="1" t="s">
        <v>45</v>
      </c>
      <c r="P10" t="s">
        <v>104</v>
      </c>
      <c r="Q10" t="s">
        <v>168</v>
      </c>
      <c r="R10" s="1" t="s">
        <v>45</v>
      </c>
      <c r="S10" t="s">
        <v>130</v>
      </c>
      <c r="T10" t="s">
        <v>204</v>
      </c>
      <c r="V10" s="1" t="s">
        <v>151</v>
      </c>
      <c r="W10" t="s">
        <v>203</v>
      </c>
    </row>
    <row r="11" spans="1:24" x14ac:dyDescent="0.2">
      <c r="B11" t="s">
        <v>166</v>
      </c>
      <c r="C11" t="s">
        <v>85</v>
      </c>
      <c r="E11">
        <v>50</v>
      </c>
      <c r="G11">
        <v>0</v>
      </c>
      <c r="H11">
        <v>0</v>
      </c>
      <c r="I11">
        <f>SQRT(9.81*(0.002*(H11-G11))/E11*100)</f>
        <v>0</v>
      </c>
      <c r="J11">
        <v>0</v>
      </c>
      <c r="K11">
        <v>0</v>
      </c>
      <c r="L11">
        <f t="shared" si="0"/>
        <v>0</v>
      </c>
      <c r="N11" t="s">
        <v>202</v>
      </c>
      <c r="O11" s="1" t="s">
        <v>45</v>
      </c>
      <c r="P11" t="s">
        <v>104</v>
      </c>
      <c r="Q11" t="s">
        <v>168</v>
      </c>
      <c r="R11" s="1" t="s">
        <v>45</v>
      </c>
      <c r="T11" t="s">
        <v>205</v>
      </c>
      <c r="V11" s="1" t="s">
        <v>151</v>
      </c>
      <c r="W11" t="s">
        <v>203</v>
      </c>
    </row>
    <row r="12" spans="1:24" ht="17" thickBo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>
        <f t="shared" si="0"/>
        <v>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" thickTop="1" x14ac:dyDescent="0.2">
      <c r="A13" s="30" t="s">
        <v>206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 t="shared" si="0"/>
        <v>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x14ac:dyDescent="0.2">
      <c r="A14" t="s">
        <v>207</v>
      </c>
      <c r="B14" t="s">
        <v>208</v>
      </c>
      <c r="C14" t="s">
        <v>209</v>
      </c>
      <c r="E14">
        <v>50</v>
      </c>
      <c r="G14">
        <v>15</v>
      </c>
      <c r="H14">
        <v>30</v>
      </c>
      <c r="I14">
        <f>SQRT(9.81*(0.002*(H14-G14))/E14*100)</f>
        <v>0.76720271115266536</v>
      </c>
      <c r="L14">
        <f t="shared" si="0"/>
        <v>0</v>
      </c>
    </row>
    <row r="15" spans="1:24" x14ac:dyDescent="0.2">
      <c r="A15" t="s">
        <v>210</v>
      </c>
      <c r="B15" t="s">
        <v>166</v>
      </c>
      <c r="E15">
        <v>50</v>
      </c>
      <c r="I15">
        <f>SQRT(9.81*(0.002*(H15-G15))/E15*100)</f>
        <v>0</v>
      </c>
      <c r="L15">
        <f t="shared" si="0"/>
        <v>0</v>
      </c>
    </row>
    <row r="16" spans="1:24" x14ac:dyDescent="0.2">
      <c r="B16" t="s">
        <v>211</v>
      </c>
      <c r="E16">
        <v>50</v>
      </c>
      <c r="I16">
        <f>SQRT(9.81*(0.002*(H16-G16))/E16*100)</f>
        <v>0</v>
      </c>
      <c r="J16">
        <v>120</v>
      </c>
      <c r="L16">
        <f t="shared" si="0"/>
        <v>0.10471975511965977</v>
      </c>
    </row>
    <row r="17" spans="1:24" ht="17" thickBo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f t="shared" si="0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 ht="17" thickTop="1" x14ac:dyDescent="0.2">
      <c r="A18" s="30" t="s">
        <v>212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>
        <f t="shared" si="0"/>
        <v>0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x14ac:dyDescent="0.2">
      <c r="B19" t="s">
        <v>213</v>
      </c>
      <c r="E19">
        <v>50</v>
      </c>
      <c r="G19">
        <v>15</v>
      </c>
      <c r="H19">
        <v>40</v>
      </c>
      <c r="I19">
        <f>SQRT(9.81*(0.002*(H19-G19))/E19*100)</f>
        <v>0.99045444115315073</v>
      </c>
      <c r="L19">
        <f t="shared" si="0"/>
        <v>0</v>
      </c>
    </row>
    <row r="20" spans="1:24" x14ac:dyDescent="0.2">
      <c r="B20" t="s">
        <v>211</v>
      </c>
      <c r="E20">
        <v>50</v>
      </c>
      <c r="I20">
        <f>SQRT(9.81*(0.002*(H20-G20))/E20*100)</f>
        <v>0</v>
      </c>
      <c r="J20">
        <v>60</v>
      </c>
      <c r="L20">
        <f t="shared" si="0"/>
        <v>0.20943951023931953</v>
      </c>
    </row>
    <row r="21" spans="1:24" x14ac:dyDescent="0.2">
      <c r="B21" t="s">
        <v>211</v>
      </c>
      <c r="E21">
        <v>50</v>
      </c>
      <c r="I21">
        <f>SQRT(9.81*(0.002*(H21-G21))/E21*100)</f>
        <v>0</v>
      </c>
      <c r="J21">
        <v>30</v>
      </c>
      <c r="L21">
        <f t="shared" si="0"/>
        <v>0.41887902047863906</v>
      </c>
    </row>
    <row r="22" spans="1:24" x14ac:dyDescent="0.2">
      <c r="B22" t="s">
        <v>214</v>
      </c>
      <c r="E22">
        <v>50</v>
      </c>
      <c r="I22">
        <f>SQRT(9.81*(0.002*(H22-G22))/E22*100)</f>
        <v>0</v>
      </c>
      <c r="L22">
        <f t="shared" si="0"/>
        <v>0</v>
      </c>
    </row>
    <row r="23" spans="1:24" ht="17" thickBo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>
        <f t="shared" si="0"/>
        <v>0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 ht="17" thickTop="1" x14ac:dyDescent="0.2">
      <c r="A24" s="30" t="s">
        <v>215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>
        <f t="shared" si="0"/>
        <v>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x14ac:dyDescent="0.2">
      <c r="B25" t="s">
        <v>216</v>
      </c>
      <c r="E25">
        <v>50</v>
      </c>
      <c r="G25">
        <v>15</v>
      </c>
      <c r="H25" s="31">
        <v>40</v>
      </c>
      <c r="I25">
        <f>SQRT(9.81*(0.002*(H25-G25))/E25*100)</f>
        <v>0.99045444115315073</v>
      </c>
      <c r="J25">
        <v>60</v>
      </c>
      <c r="L25">
        <f t="shared" si="0"/>
        <v>0.20943951023931953</v>
      </c>
    </row>
    <row r="26" spans="1:24" x14ac:dyDescent="0.2">
      <c r="B26" t="s">
        <v>211</v>
      </c>
      <c r="E26">
        <v>50</v>
      </c>
      <c r="I26">
        <f>SQRT(9.81*(0.002*(H26-G26))/E26*100)</f>
        <v>0</v>
      </c>
      <c r="J26">
        <v>100</v>
      </c>
      <c r="L26">
        <f t="shared" si="0"/>
        <v>0.12566370614359174</v>
      </c>
    </row>
    <row r="27" spans="1:24" x14ac:dyDescent="0.2">
      <c r="B27" t="s">
        <v>213</v>
      </c>
      <c r="E27">
        <v>50</v>
      </c>
      <c r="I27">
        <f>SQRT(9.81*(0.002*(H27-G27))/E27*100)</f>
        <v>0</v>
      </c>
      <c r="L27">
        <f t="shared" si="0"/>
        <v>0</v>
      </c>
    </row>
    <row r="28" spans="1:24" x14ac:dyDescent="0.2">
      <c r="B28" t="s">
        <v>214</v>
      </c>
      <c r="E28">
        <v>50</v>
      </c>
      <c r="I28">
        <f>SQRT(9.81*(0.002*(H28-G28))/E28*100)</f>
        <v>0</v>
      </c>
      <c r="L28">
        <f t="shared" si="0"/>
        <v>0</v>
      </c>
    </row>
    <row r="29" spans="1:24" ht="17" thickBot="1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>
        <f t="shared" si="0"/>
        <v>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7" thickTop="1" x14ac:dyDescent="0.2">
      <c r="A30" s="30" t="s">
        <v>217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>
        <f>IF(J30=0,0,2*(2*PI()/J30))</f>
        <v>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x14ac:dyDescent="0.2">
      <c r="B31" t="s">
        <v>216</v>
      </c>
      <c r="E31">
        <v>50</v>
      </c>
      <c r="G31">
        <v>15</v>
      </c>
      <c r="H31" s="31">
        <v>40</v>
      </c>
      <c r="I31">
        <f>SQRT(9.81*(0.002*(H31-G31))/E31*100)</f>
        <v>0.99045444115315073</v>
      </c>
      <c r="J31">
        <v>100</v>
      </c>
      <c r="L31">
        <f>IF(J31=0,0,2*(2*PI()/J31))</f>
        <v>0.12566370614359174</v>
      </c>
    </row>
    <row r="32" spans="1:24" x14ac:dyDescent="0.2">
      <c r="B32" t="s">
        <v>211</v>
      </c>
      <c r="E32">
        <v>50</v>
      </c>
      <c r="I32">
        <f>SQRT(9.81*(0.002*(H32-G32))/E32*100)</f>
        <v>0</v>
      </c>
      <c r="J32">
        <v>30</v>
      </c>
      <c r="L32">
        <f>IF(J32=0,0,2*(2*PI()/J32))</f>
        <v>0.41887902047863906</v>
      </c>
    </row>
    <row r="33" spans="1:24" x14ac:dyDescent="0.2">
      <c r="B33" t="s">
        <v>214</v>
      </c>
      <c r="E33">
        <v>50</v>
      </c>
      <c r="I33">
        <f>SQRT(9.81*(0.002*(H33-G33))/E33*100)</f>
        <v>0</v>
      </c>
      <c r="L33">
        <f>IF(J33=0,0,2*(2*PI()/J33))</f>
        <v>0</v>
      </c>
    </row>
    <row r="34" spans="1:24" ht="17" thickBo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>
        <f>IF(J34=0, ,2*(2*PI()/J34))</f>
        <v>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7" thickTop="1" x14ac:dyDescent="0.2">
      <c r="A35" s="30" t="s">
        <v>218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>
        <f>IF(J35=0,0,2*(2*PI()/J35))</f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x14ac:dyDescent="0.2">
      <c r="B36" t="s">
        <v>213</v>
      </c>
      <c r="E36">
        <v>50</v>
      </c>
      <c r="G36">
        <v>15</v>
      </c>
      <c r="H36" s="31">
        <v>40</v>
      </c>
      <c r="I36">
        <f>SQRT(9.81*(0.002*(H36-G36))/E36*100)</f>
        <v>0.99045444115315073</v>
      </c>
      <c r="L36">
        <f>IF(J36=0,0,2*(2*PI()/J36))</f>
        <v>0</v>
      </c>
    </row>
    <row r="37" spans="1:24" x14ac:dyDescent="0.2">
      <c r="B37" t="s">
        <v>214</v>
      </c>
      <c r="E37">
        <v>50</v>
      </c>
      <c r="I37">
        <f>SQRT(9.81*(0.002*(H37-G37))/E37*100)</f>
        <v>0</v>
      </c>
      <c r="L37">
        <f>IF(J37=0,0,2*(2*PI()/J37))</f>
        <v>0</v>
      </c>
    </row>
    <row r="38" spans="1:24" x14ac:dyDescent="0.2">
      <c r="B38" t="s">
        <v>211</v>
      </c>
      <c r="E38">
        <v>50</v>
      </c>
      <c r="I38">
        <f>SQRT(9.81*(0.002*(H38-G38))/E38*100)</f>
        <v>0</v>
      </c>
      <c r="L38">
        <f>IF(J38=0,0,2*(2*PI()/J38))</f>
        <v>0</v>
      </c>
    </row>
    <row r="39" spans="1:24" ht="17" thickBo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>
        <f>IF(J39=0, ,2*(2*PI()/J39))</f>
        <v>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7" thickTop="1" x14ac:dyDescent="0.2">
      <c r="A40" s="30" t="s">
        <v>219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>
        <f>IF(J40=0,0,2*(2*PI()/J40))</f>
        <v>0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x14ac:dyDescent="0.2">
      <c r="B41" t="s">
        <v>220</v>
      </c>
      <c r="E41">
        <v>50</v>
      </c>
      <c r="G41">
        <v>15</v>
      </c>
      <c r="H41" s="31">
        <v>40</v>
      </c>
      <c r="I41">
        <f>SQRT(9.81*(0.002*(H41-G41))/E41*100)</f>
        <v>0.99045444115315073</v>
      </c>
      <c r="J41">
        <v>120</v>
      </c>
      <c r="K41">
        <v>60</v>
      </c>
      <c r="L41">
        <f>IF(J41=0,0,2*(2*PI()/J41))</f>
        <v>0.10471975511965977</v>
      </c>
      <c r="W41" s="1" t="s">
        <v>45</v>
      </c>
    </row>
    <row r="42" spans="1:24" x14ac:dyDescent="0.2">
      <c r="B42" t="s">
        <v>221</v>
      </c>
      <c r="E42">
        <v>50</v>
      </c>
      <c r="I42">
        <f>SQRT(9.81*(0.002*(H42-G42))/E42*100)</f>
        <v>0</v>
      </c>
      <c r="J42">
        <v>0</v>
      </c>
      <c r="K42">
        <v>120</v>
      </c>
      <c r="L42">
        <f>IF(J42=0,0,2*(2*PI()/J42))</f>
        <v>0</v>
      </c>
      <c r="W42" s="1"/>
    </row>
    <row r="43" spans="1:24" x14ac:dyDescent="0.2">
      <c r="B43" t="s">
        <v>214</v>
      </c>
      <c r="E43">
        <v>50</v>
      </c>
      <c r="I43">
        <f>SQRT(9.81*(0.002*(H43-G43))/E43*100)</f>
        <v>0</v>
      </c>
      <c r="J43">
        <v>0</v>
      </c>
      <c r="L43">
        <f>IF(J43=0,0,2*(2*PI()/J43))</f>
        <v>0</v>
      </c>
    </row>
    <row r="44" spans="1:24" ht="17" thickBo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>
        <f>IF(J44=0, ,2*(2*PI()/J44))</f>
        <v>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7" thickTop="1" x14ac:dyDescent="0.2">
      <c r="A45" s="30" t="s">
        <v>222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>
        <f>IF(J45=0,0,2*(2*PI()/J45))</f>
        <v>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x14ac:dyDescent="0.2">
      <c r="B46" t="s">
        <v>216</v>
      </c>
      <c r="E46">
        <v>50</v>
      </c>
      <c r="J46">
        <v>100</v>
      </c>
      <c r="K46">
        <v>0</v>
      </c>
      <c r="L46">
        <f>IF(J46=0,0,2*(2*PI()/J46))</f>
        <v>0.12566370614359174</v>
      </c>
      <c r="W46" s="1" t="s">
        <v>45</v>
      </c>
    </row>
    <row r="47" spans="1:24" x14ac:dyDescent="0.2">
      <c r="B47" t="s">
        <v>221</v>
      </c>
      <c r="E47">
        <v>50</v>
      </c>
      <c r="J47">
        <v>100</v>
      </c>
      <c r="K47">
        <v>60</v>
      </c>
      <c r="L47">
        <f>IF(J47=0,0,2*(2*PI()/J47))</f>
        <v>0.12566370614359174</v>
      </c>
      <c r="W47" s="31"/>
    </row>
    <row r="48" spans="1:24" x14ac:dyDescent="0.2">
      <c r="B48" t="s">
        <v>213</v>
      </c>
      <c r="E48">
        <v>50</v>
      </c>
      <c r="J48">
        <v>0</v>
      </c>
      <c r="L48">
        <f>IF(J48=0,0,2*(2*PI()/J48))</f>
        <v>0</v>
      </c>
      <c r="W48" s="31"/>
    </row>
  </sheetData>
  <conditionalFormatting sqref="O9:O11">
    <cfRule type="containsText" dxfId="87" priority="1" operator="containsText" text="NON">
      <formula>NOT(ISERROR(SEARCH("NON",O9)))</formula>
    </cfRule>
    <cfRule type="containsText" dxfId="86" priority="2" operator="containsText" text="OUI">
      <formula>NOT(ISERROR(SEARCH("OUI",O9)))</formula>
    </cfRule>
  </conditionalFormatting>
  <conditionalFormatting sqref="R9:R11">
    <cfRule type="containsText" dxfId="85" priority="3" operator="containsText" text="NON">
      <formula>NOT(ISERROR(SEARCH("NON",R9)))</formula>
    </cfRule>
    <cfRule type="containsText" dxfId="84" priority="4" operator="containsText" text="OUI">
      <formula>NOT(ISERROR(SEARCH("OUI",R9)))</formula>
    </cfRule>
  </conditionalFormatting>
  <conditionalFormatting sqref="W41:W42">
    <cfRule type="containsText" dxfId="83" priority="5" operator="containsText" text="NON">
      <formula>NOT(ISERROR(SEARCH("NON",W41)))</formula>
    </cfRule>
    <cfRule type="containsText" dxfId="82" priority="6" operator="containsText" text="OUI">
      <formula>NOT(ISERROR(SEARCH("OUI",W41)))</formula>
    </cfRule>
  </conditionalFormatting>
  <conditionalFormatting sqref="W46">
    <cfRule type="containsText" dxfId="81" priority="7" operator="containsText" text="NON">
      <formula>NOT(ISERROR(SEARCH("NON",W46)))</formula>
    </cfRule>
    <cfRule type="containsText" dxfId="80" priority="8" operator="containsText" text="OUI">
      <formula>NOT(ISERROR(SEARCH("OUI",W46)))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67"/>
  <sheetViews>
    <sheetView topLeftCell="A19" zoomScaleNormal="100" workbookViewId="0">
      <selection activeCell="E13" sqref="E13"/>
    </sheetView>
  </sheetViews>
  <sheetFormatPr baseColWidth="10" defaultColWidth="10.6640625" defaultRowHeight="16" x14ac:dyDescent="0.2"/>
  <cols>
    <col min="1" max="1" width="18.83203125" customWidth="1"/>
    <col min="2" max="3" width="19.5" customWidth="1"/>
    <col min="11" max="13" width="12" customWidth="1"/>
    <col min="14" max="14" width="17" customWidth="1"/>
    <col min="15" max="19" width="12" customWidth="1"/>
    <col min="20" max="20" width="20.83203125" customWidth="1"/>
    <col min="21" max="21" width="14.1640625" customWidth="1"/>
    <col min="22" max="22" width="25.33203125" customWidth="1"/>
    <col min="23" max="25" width="13.33203125" customWidth="1"/>
    <col min="26" max="26" width="18.83203125" customWidth="1"/>
    <col min="27" max="27" width="12" customWidth="1"/>
    <col min="28" max="28" width="24.83203125" customWidth="1"/>
  </cols>
  <sheetData>
    <row r="2" spans="1:28" x14ac:dyDescent="0.2">
      <c r="A2" t="s">
        <v>0</v>
      </c>
    </row>
    <row r="4" spans="1:28" x14ac:dyDescent="0.2">
      <c r="N4" t="s">
        <v>1</v>
      </c>
      <c r="O4" t="s">
        <v>2</v>
      </c>
      <c r="T4" t="s">
        <v>3</v>
      </c>
      <c r="U4" t="s">
        <v>4</v>
      </c>
      <c r="V4" t="s">
        <v>5</v>
      </c>
      <c r="Z4" s="1" t="s">
        <v>6</v>
      </c>
      <c r="AB4" t="s">
        <v>7</v>
      </c>
    </row>
    <row r="5" spans="1:28" x14ac:dyDescent="0.2">
      <c r="Z5" t="s">
        <v>8</v>
      </c>
    </row>
    <row r="6" spans="1:28" x14ac:dyDescent="0.2">
      <c r="A6" s="1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3" t="s">
        <v>19</v>
      </c>
      <c r="L6" s="4" t="s">
        <v>20</v>
      </c>
      <c r="M6" s="5" t="s">
        <v>21</v>
      </c>
      <c r="N6" s="6" t="s">
        <v>22</v>
      </c>
      <c r="O6" s="2" t="s">
        <v>23</v>
      </c>
      <c r="P6" s="2" t="s">
        <v>24</v>
      </c>
      <c r="Q6" s="2" t="s">
        <v>25</v>
      </c>
      <c r="R6" s="2" t="s">
        <v>26</v>
      </c>
      <c r="S6" s="2" t="s">
        <v>27</v>
      </c>
      <c r="T6" s="2" t="s">
        <v>28</v>
      </c>
      <c r="U6" s="2" t="s">
        <v>29</v>
      </c>
      <c r="V6" s="2" t="s">
        <v>30</v>
      </c>
      <c r="W6" s="2" t="s">
        <v>31</v>
      </c>
      <c r="X6" s="2" t="s">
        <v>32</v>
      </c>
      <c r="Y6" s="2" t="s">
        <v>33</v>
      </c>
      <c r="Z6" s="2" t="s">
        <v>34</v>
      </c>
      <c r="AA6" s="2" t="s">
        <v>35</v>
      </c>
      <c r="AB6" s="2" t="s">
        <v>36</v>
      </c>
    </row>
    <row r="7" spans="1:28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3"/>
      <c r="L7" s="4"/>
      <c r="M7" s="5"/>
      <c r="N7" s="6"/>
      <c r="O7" s="2"/>
      <c r="P7" s="2"/>
      <c r="Q7" s="2"/>
      <c r="R7" s="2"/>
      <c r="S7" s="2"/>
      <c r="T7" s="2"/>
      <c r="U7" s="2" t="s">
        <v>37</v>
      </c>
      <c r="V7" s="2"/>
      <c r="W7" s="2"/>
      <c r="X7" s="2"/>
      <c r="Y7" s="2"/>
      <c r="Z7" s="2"/>
      <c r="AA7" s="2"/>
      <c r="AB7" s="2"/>
    </row>
    <row r="8" spans="1:28" x14ac:dyDescent="0.2">
      <c r="H8">
        <f>0.05235/2</f>
        <v>2.6175E-2</v>
      </c>
      <c r="S8" s="1"/>
    </row>
    <row r="9" spans="1:28" x14ac:dyDescent="0.2">
      <c r="B9" s="7"/>
      <c r="C9" s="7" t="s">
        <v>38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">
      <c r="A10" s="8">
        <v>45392</v>
      </c>
      <c r="B10" t="s">
        <v>39</v>
      </c>
      <c r="E10">
        <v>0</v>
      </c>
      <c r="F10">
        <v>120</v>
      </c>
      <c r="G10">
        <f t="shared" ref="G10:G18" si="0">IF(E10=0, 2*PI()*(1/F10),2*PI()*(1/F10-1/E10))</f>
        <v>5.2359877559829883E-2</v>
      </c>
      <c r="H10">
        <v>50</v>
      </c>
      <c r="I10" t="s">
        <v>40</v>
      </c>
      <c r="J10" t="s">
        <v>40</v>
      </c>
      <c r="K10">
        <f t="shared" ref="K10:K18" si="1">IF(E10=0,0,2*(2*PI()/E10))</f>
        <v>0</v>
      </c>
      <c r="L10">
        <v>0</v>
      </c>
      <c r="M10">
        <f t="shared" ref="M10:M18" si="2">SQRT(9.81*L10/H10*100)</f>
        <v>0</v>
      </c>
      <c r="N10">
        <v>4.5</v>
      </c>
      <c r="O10" s="1" t="s">
        <v>41</v>
      </c>
      <c r="P10" s="1" t="s">
        <v>41</v>
      </c>
      <c r="Q10" s="1">
        <f t="shared" ref="Q10:Q18" si="3">(N10*G10)*100</f>
        <v>23.561944901923447</v>
      </c>
      <c r="R10">
        <f>Tableau2[[#This Row],[U(cm/s]]/20</f>
        <v>1.1780972450961724</v>
      </c>
      <c r="S10" s="1" t="s">
        <v>41</v>
      </c>
      <c r="T10" s="1">
        <v>2</v>
      </c>
      <c r="U10">
        <f t="shared" ref="U10:U18" si="4">IF(M10=0,300,(( 0.8*H10/100) /(2^(1/4)  *(R10/100) *M10 ^(-1/2)) )^2)</f>
        <v>300</v>
      </c>
      <c r="V10">
        <f t="shared" ref="V10:V18" si="5">IF(K10=0,0,(20*0.3/K10))</f>
        <v>0</v>
      </c>
      <c r="W10">
        <f t="shared" ref="W10:W18" si="6">IF(K10=0,0,(0.3*ABS(R10)/(K10)))</f>
        <v>0</v>
      </c>
      <c r="X10">
        <f t="shared" ref="X10:X18" si="7">IF(E10=0,0,(0.63*ABS(R10)/(2*PI()/E10) ))</f>
        <v>0</v>
      </c>
      <c r="Y10">
        <f t="shared" ref="Y10:Y18" si="8">0.19*X10</f>
        <v>0</v>
      </c>
      <c r="Z10">
        <f t="shared" ref="Z10:Z18" si="9">M10^2 * 0.5*(H10) /(2*R10^2)</f>
        <v>0</v>
      </c>
      <c r="AA10">
        <f t="shared" ref="AA10:AA18" si="10">IF(K10=0,0,ABS(R10/(K10*0.5*H10)))</f>
        <v>0</v>
      </c>
      <c r="AB10">
        <f>ABS(Tableau2[[#This Row],[U(cm/s]]/100)/SQRT(Tableau2[[#This Row],[D omega]]*(10^(-6)))</f>
        <v>1029.70263697174</v>
      </c>
    </row>
    <row r="11" spans="1:28" x14ac:dyDescent="0.2">
      <c r="A11" s="8">
        <v>45392</v>
      </c>
      <c r="B11" t="s">
        <v>42</v>
      </c>
      <c r="E11">
        <v>90</v>
      </c>
      <c r="F11">
        <v>65</v>
      </c>
      <c r="G11">
        <f t="shared" si="0"/>
        <v>2.6851219261451224E-2</v>
      </c>
      <c r="H11">
        <v>50</v>
      </c>
      <c r="I11" t="s">
        <v>40</v>
      </c>
      <c r="J11" t="s">
        <v>40</v>
      </c>
      <c r="K11">
        <f t="shared" si="1"/>
        <v>0.13962634015954636</v>
      </c>
      <c r="L11">
        <v>0</v>
      </c>
      <c r="M11">
        <f t="shared" si="2"/>
        <v>0</v>
      </c>
      <c r="N11">
        <v>4.5</v>
      </c>
      <c r="O11" s="1" t="s">
        <v>41</v>
      </c>
      <c r="P11" s="1" t="s">
        <v>41</v>
      </c>
      <c r="Q11" s="1">
        <f t="shared" si="3"/>
        <v>12.083048667653051</v>
      </c>
      <c r="R11">
        <f>Tableau2[[#This Row],[U(cm/s]]/20</f>
        <v>0.60415243338265257</v>
      </c>
      <c r="S11" s="1" t="s">
        <v>41</v>
      </c>
      <c r="T11" s="1">
        <v>2</v>
      </c>
      <c r="U11">
        <f t="shared" si="4"/>
        <v>300</v>
      </c>
      <c r="V11">
        <f t="shared" si="5"/>
        <v>42.971834634811742</v>
      </c>
      <c r="W11">
        <f t="shared" si="6"/>
        <v>1.2980769230769231</v>
      </c>
      <c r="X11">
        <f t="shared" si="7"/>
        <v>5.4519230769230775</v>
      </c>
      <c r="Y11">
        <f t="shared" si="8"/>
        <v>1.0358653846153847</v>
      </c>
      <c r="Z11">
        <f t="shared" si="9"/>
        <v>0</v>
      </c>
      <c r="AA11">
        <f t="shared" si="10"/>
        <v>0.1730769230769231</v>
      </c>
      <c r="AB11">
        <f>ABS(Tableau2[[#This Row],[U(cm/s]]/100)/SQRT(Tableau2[[#This Row],[D omega]]*(10^(-6)))</f>
        <v>737.38537417308964</v>
      </c>
    </row>
    <row r="12" spans="1:28" x14ac:dyDescent="0.2">
      <c r="A12" s="8">
        <v>45392</v>
      </c>
      <c r="B12" t="s">
        <v>43</v>
      </c>
      <c r="E12">
        <v>120</v>
      </c>
      <c r="F12">
        <v>80</v>
      </c>
      <c r="G12">
        <f t="shared" si="0"/>
        <v>2.6179938779914948E-2</v>
      </c>
      <c r="H12">
        <v>50</v>
      </c>
      <c r="I12" t="s">
        <v>40</v>
      </c>
      <c r="J12" t="s">
        <v>40</v>
      </c>
      <c r="K12">
        <f t="shared" si="1"/>
        <v>0.10471975511965977</v>
      </c>
      <c r="L12">
        <v>0</v>
      </c>
      <c r="M12">
        <f t="shared" si="2"/>
        <v>0</v>
      </c>
      <c r="N12">
        <v>4.5</v>
      </c>
      <c r="O12" s="1" t="s">
        <v>41</v>
      </c>
      <c r="P12" s="1" t="s">
        <v>41</v>
      </c>
      <c r="Q12" s="1">
        <f t="shared" si="3"/>
        <v>11.780972450961727</v>
      </c>
      <c r="R12">
        <f>Tableau2[[#This Row],[U(cm/s]]/20</f>
        <v>0.58904862254808632</v>
      </c>
      <c r="S12" s="1" t="s">
        <v>41</v>
      </c>
      <c r="T12" s="1">
        <v>2</v>
      </c>
      <c r="U12">
        <f t="shared" si="4"/>
        <v>300</v>
      </c>
      <c r="V12">
        <f t="shared" si="5"/>
        <v>57.295779513082323</v>
      </c>
      <c r="W12">
        <f t="shared" si="6"/>
        <v>1.6875000000000004</v>
      </c>
      <c r="X12">
        <f t="shared" si="7"/>
        <v>7.0875000000000012</v>
      </c>
      <c r="Y12">
        <f t="shared" si="8"/>
        <v>1.3466250000000002</v>
      </c>
      <c r="Z12">
        <f t="shared" si="9"/>
        <v>0</v>
      </c>
      <c r="AA12">
        <f t="shared" si="10"/>
        <v>0.22500000000000006</v>
      </c>
      <c r="AB12">
        <f>ABS(Tableau2[[#This Row],[U(cm/s]]/100)/SQRT(Tableau2[[#This Row],[D omega]]*(10^(-6)))</f>
        <v>728.10971720838722</v>
      </c>
    </row>
    <row r="13" spans="1:28" x14ac:dyDescent="0.2">
      <c r="A13" s="8">
        <v>45392</v>
      </c>
      <c r="B13" t="s">
        <v>44</v>
      </c>
      <c r="E13">
        <v>0</v>
      </c>
      <c r="F13">
        <v>120</v>
      </c>
      <c r="G13">
        <f t="shared" si="0"/>
        <v>5.2359877559829883E-2</v>
      </c>
      <c r="H13">
        <v>50</v>
      </c>
      <c r="I13" t="s">
        <v>40</v>
      </c>
      <c r="J13" t="s">
        <v>40</v>
      </c>
      <c r="K13">
        <f t="shared" si="1"/>
        <v>0</v>
      </c>
      <c r="L13">
        <v>0</v>
      </c>
      <c r="M13">
        <f t="shared" si="2"/>
        <v>0</v>
      </c>
      <c r="N13">
        <v>4.5</v>
      </c>
      <c r="O13" s="1" t="s">
        <v>41</v>
      </c>
      <c r="P13" s="1" t="s">
        <v>41</v>
      </c>
      <c r="Q13" s="1">
        <f t="shared" si="3"/>
        <v>23.561944901923447</v>
      </c>
      <c r="R13">
        <f>Tableau2[[#This Row],[U(cm/s]]/20</f>
        <v>1.1780972450961724</v>
      </c>
      <c r="S13" s="9" t="s">
        <v>45</v>
      </c>
      <c r="T13" s="1">
        <v>1.5</v>
      </c>
      <c r="U13">
        <f t="shared" si="4"/>
        <v>300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>ABS(Tableau2[[#This Row],[U(cm/s]]/100)/SQRT(Tableau2[[#This Row],[D omega]]*(10^(-6)))</f>
        <v>1029.70263697174</v>
      </c>
    </row>
    <row r="14" spans="1:28" x14ac:dyDescent="0.2">
      <c r="A14" s="8">
        <v>45392</v>
      </c>
      <c r="B14" t="s">
        <v>46</v>
      </c>
      <c r="E14">
        <v>98</v>
      </c>
      <c r="F14">
        <v>540</v>
      </c>
      <c r="G14">
        <f t="shared" si="0"/>
        <v>-5.2478607440917924E-2</v>
      </c>
      <c r="H14">
        <v>50</v>
      </c>
      <c r="I14" t="s">
        <v>40</v>
      </c>
      <c r="J14" t="s">
        <v>40</v>
      </c>
      <c r="K14">
        <f t="shared" si="1"/>
        <v>0.12822827157509359</v>
      </c>
      <c r="L14">
        <v>0</v>
      </c>
      <c r="M14">
        <f t="shared" si="2"/>
        <v>0</v>
      </c>
      <c r="N14">
        <v>4.5</v>
      </c>
      <c r="O14" s="1" t="s">
        <v>41</v>
      </c>
      <c r="P14" s="1" t="s">
        <v>41</v>
      </c>
      <c r="Q14" s="1">
        <f t="shared" si="3"/>
        <v>-23.615373348413065</v>
      </c>
      <c r="R14">
        <f>Tableau2[[#This Row],[U(cm/s]]/20</f>
        <v>-1.1807686674206532</v>
      </c>
      <c r="S14" s="9" t="s">
        <v>45</v>
      </c>
      <c r="T14" s="1">
        <v>1.5</v>
      </c>
      <c r="U14">
        <f t="shared" si="4"/>
        <v>300</v>
      </c>
      <c r="V14">
        <f t="shared" si="5"/>
        <v>46.791553269017236</v>
      </c>
      <c r="W14">
        <f t="shared" si="6"/>
        <v>2.7624999999999993</v>
      </c>
      <c r="X14">
        <f t="shared" si="7"/>
        <v>11.602499999999997</v>
      </c>
      <c r="Y14">
        <f t="shared" si="8"/>
        <v>2.2044749999999995</v>
      </c>
      <c r="Z14">
        <f t="shared" si="9"/>
        <v>0</v>
      </c>
      <c r="AA14">
        <f t="shared" si="10"/>
        <v>0.36833333333333329</v>
      </c>
      <c r="AB14" t="e">
        <f>ABS(Tableau2[[#This Row],[U(cm/s]]/100)/SQRT(Tableau2[[#This Row],[D omega]]*(10^(-6)))</f>
        <v>#NUM!</v>
      </c>
    </row>
    <row r="15" spans="1:28" x14ac:dyDescent="0.2">
      <c r="A15" s="8">
        <v>45392</v>
      </c>
      <c r="B15" t="s">
        <v>47</v>
      </c>
      <c r="E15">
        <v>80</v>
      </c>
      <c r="F15">
        <v>48</v>
      </c>
      <c r="G15">
        <f t="shared" si="0"/>
        <v>5.2359877559829876E-2</v>
      </c>
      <c r="H15">
        <v>50</v>
      </c>
      <c r="I15" t="s">
        <v>40</v>
      </c>
      <c r="J15" t="s">
        <v>40</v>
      </c>
      <c r="K15">
        <f t="shared" si="1"/>
        <v>0.15707963267948966</v>
      </c>
      <c r="L15">
        <v>0</v>
      </c>
      <c r="M15">
        <f t="shared" si="2"/>
        <v>0</v>
      </c>
      <c r="N15">
        <v>4.5</v>
      </c>
      <c r="O15" s="1" t="s">
        <v>41</v>
      </c>
      <c r="P15" s="1" t="s">
        <v>41</v>
      </c>
      <c r="Q15" s="1">
        <f t="shared" si="3"/>
        <v>23.561944901923443</v>
      </c>
      <c r="R15">
        <f>Tableau2[[#This Row],[U(cm/s]]/20</f>
        <v>1.1780972450961722</v>
      </c>
      <c r="S15" s="9" t="s">
        <v>45</v>
      </c>
      <c r="T15" s="1">
        <v>1.5</v>
      </c>
      <c r="U15">
        <f t="shared" si="4"/>
        <v>300</v>
      </c>
      <c r="V15">
        <f t="shared" si="5"/>
        <v>38.197186342054884</v>
      </c>
      <c r="W15">
        <f t="shared" si="6"/>
        <v>2.2499999999999996</v>
      </c>
      <c r="X15">
        <f t="shared" si="7"/>
        <v>9.4499999999999993</v>
      </c>
      <c r="Y15">
        <f t="shared" si="8"/>
        <v>1.7954999999999999</v>
      </c>
      <c r="Z15">
        <f t="shared" si="9"/>
        <v>0</v>
      </c>
      <c r="AA15">
        <f t="shared" si="10"/>
        <v>0.29999999999999993</v>
      </c>
      <c r="AB15">
        <f>ABS(Tableau2[[#This Row],[U(cm/s]]/100)/SQRT(Tableau2[[#This Row],[D omega]]*(10^(-6)))</f>
        <v>1029.70263697174</v>
      </c>
    </row>
    <row r="16" spans="1:28" x14ac:dyDescent="0.2">
      <c r="A16" s="8">
        <v>45392</v>
      </c>
      <c r="B16" t="s">
        <v>48</v>
      </c>
      <c r="E16">
        <v>0</v>
      </c>
      <c r="F16">
        <v>120</v>
      </c>
      <c r="G16">
        <f t="shared" si="0"/>
        <v>5.2359877559829883E-2</v>
      </c>
      <c r="H16">
        <v>50</v>
      </c>
      <c r="I16" t="s">
        <v>40</v>
      </c>
      <c r="J16" t="s">
        <v>40</v>
      </c>
      <c r="K16">
        <f t="shared" si="1"/>
        <v>0</v>
      </c>
      <c r="L16">
        <v>0</v>
      </c>
      <c r="M16">
        <f t="shared" si="2"/>
        <v>0</v>
      </c>
      <c r="N16">
        <v>4.5</v>
      </c>
      <c r="O16" s="1" t="s">
        <v>41</v>
      </c>
      <c r="P16" s="1" t="s">
        <v>41</v>
      </c>
      <c r="Q16" s="1">
        <f t="shared" si="3"/>
        <v>23.561944901923447</v>
      </c>
      <c r="R16">
        <f>Tableau2[[#This Row],[U(cm/s]]/20</f>
        <v>1.1780972450961724</v>
      </c>
      <c r="S16" s="9" t="s">
        <v>45</v>
      </c>
      <c r="T16" s="1">
        <v>1</v>
      </c>
      <c r="U16">
        <f t="shared" si="4"/>
        <v>300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>ABS(Tableau2[[#This Row],[U(cm/s]]/100)/SQRT(Tableau2[[#This Row],[D omega]]*(10^(-6)))</f>
        <v>1029.70263697174</v>
      </c>
    </row>
    <row r="17" spans="1:28" x14ac:dyDescent="0.2">
      <c r="A17" s="8">
        <v>45392</v>
      </c>
      <c r="B17" t="s">
        <v>49</v>
      </c>
      <c r="E17">
        <v>120</v>
      </c>
      <c r="F17">
        <v>60</v>
      </c>
      <c r="G17">
        <f t="shared" si="0"/>
        <v>5.2359877559829883E-2</v>
      </c>
      <c r="H17">
        <v>50</v>
      </c>
      <c r="I17" t="s">
        <v>40</v>
      </c>
      <c r="J17" t="s">
        <v>40</v>
      </c>
      <c r="K17">
        <f t="shared" si="1"/>
        <v>0.10471975511965977</v>
      </c>
      <c r="L17">
        <v>0</v>
      </c>
      <c r="M17">
        <f t="shared" si="2"/>
        <v>0</v>
      </c>
      <c r="N17">
        <v>4.5</v>
      </c>
      <c r="O17" s="1" t="s">
        <v>41</v>
      </c>
      <c r="P17" s="1" t="s">
        <v>41</v>
      </c>
      <c r="Q17" s="1">
        <f t="shared" si="3"/>
        <v>23.561944901923447</v>
      </c>
      <c r="R17">
        <f>Tableau2[[#This Row],[U(cm/s]]/20</f>
        <v>1.1780972450961724</v>
      </c>
      <c r="S17" s="9" t="s">
        <v>45</v>
      </c>
      <c r="T17" s="1">
        <v>1</v>
      </c>
      <c r="U17">
        <f t="shared" si="4"/>
        <v>300</v>
      </c>
      <c r="V17">
        <f t="shared" si="5"/>
        <v>57.295779513082323</v>
      </c>
      <c r="W17">
        <f t="shared" si="6"/>
        <v>3.375</v>
      </c>
      <c r="X17">
        <f t="shared" si="7"/>
        <v>14.175000000000001</v>
      </c>
      <c r="Y17">
        <f t="shared" si="8"/>
        <v>2.6932500000000004</v>
      </c>
      <c r="Z17">
        <f t="shared" si="9"/>
        <v>0</v>
      </c>
      <c r="AA17">
        <f t="shared" si="10"/>
        <v>0.45000000000000007</v>
      </c>
      <c r="AB17">
        <f>ABS(Tableau2[[#This Row],[U(cm/s]]/100)/SQRT(Tableau2[[#This Row],[D omega]]*(10^(-6)))</f>
        <v>1029.70263697174</v>
      </c>
    </row>
    <row r="18" spans="1:28" x14ac:dyDescent="0.2">
      <c r="B18" t="s">
        <v>50</v>
      </c>
      <c r="E18">
        <v>80</v>
      </c>
      <c r="F18">
        <v>48</v>
      </c>
      <c r="G18">
        <f t="shared" si="0"/>
        <v>5.2359877559829876E-2</v>
      </c>
      <c r="H18">
        <v>50</v>
      </c>
      <c r="I18" t="s">
        <v>40</v>
      </c>
      <c r="J18" t="s">
        <v>40</v>
      </c>
      <c r="K18">
        <f t="shared" si="1"/>
        <v>0.15707963267948966</v>
      </c>
      <c r="L18">
        <v>0</v>
      </c>
      <c r="M18">
        <f t="shared" si="2"/>
        <v>0</v>
      </c>
      <c r="N18">
        <v>4.5</v>
      </c>
      <c r="O18" s="1" t="s">
        <v>41</v>
      </c>
      <c r="P18" s="1" t="s">
        <v>41</v>
      </c>
      <c r="Q18" s="1">
        <f t="shared" si="3"/>
        <v>23.561944901923443</v>
      </c>
      <c r="R18">
        <f>Tableau2[[#This Row],[U(cm/s]]/20</f>
        <v>1.1780972450961722</v>
      </c>
      <c r="S18" s="9" t="s">
        <v>45</v>
      </c>
      <c r="T18" s="1">
        <v>1</v>
      </c>
      <c r="U18">
        <f t="shared" si="4"/>
        <v>300</v>
      </c>
      <c r="V18">
        <f t="shared" si="5"/>
        <v>38.197186342054884</v>
      </c>
      <c r="W18">
        <f t="shared" si="6"/>
        <v>2.2499999999999996</v>
      </c>
      <c r="X18">
        <f t="shared" si="7"/>
        <v>9.4499999999999993</v>
      </c>
      <c r="Y18">
        <f t="shared" si="8"/>
        <v>1.7954999999999999</v>
      </c>
      <c r="Z18">
        <f t="shared" si="9"/>
        <v>0</v>
      </c>
      <c r="AA18">
        <f t="shared" si="10"/>
        <v>0.29999999999999993</v>
      </c>
      <c r="AB18">
        <f>ABS(Tableau2[[#This Row],[U(cm/s]]/100)/SQRT(Tableau2[[#This Row],[D omega]]*(10^(-6)))</f>
        <v>1029.70263697174</v>
      </c>
    </row>
    <row r="19" spans="1:28" x14ac:dyDescent="0.2">
      <c r="A19" s="10">
        <v>45393</v>
      </c>
      <c r="B19" s="7"/>
      <c r="C19" s="7" t="s">
        <v>51</v>
      </c>
      <c r="D19" s="7"/>
      <c r="E19" s="7" t="s">
        <v>52</v>
      </c>
      <c r="F19" s="7"/>
      <c r="G19" s="7"/>
      <c r="H19" s="7"/>
      <c r="I19" s="7">
        <v>15</v>
      </c>
      <c r="J19" s="7">
        <v>50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x14ac:dyDescent="0.2">
      <c r="A20" s="8" t="s">
        <v>53</v>
      </c>
      <c r="B20" t="s">
        <v>54</v>
      </c>
      <c r="E20">
        <v>0</v>
      </c>
      <c r="F20">
        <v>0</v>
      </c>
      <c r="G20">
        <v>0</v>
      </c>
      <c r="H20">
        <v>50</v>
      </c>
      <c r="I20">
        <v>15</v>
      </c>
      <c r="J20">
        <v>50</v>
      </c>
      <c r="K20">
        <f>IF(E20=0,0,2*(2*PI()/E20))</f>
        <v>0</v>
      </c>
      <c r="L20">
        <f>0.0002*(J20-I20)</f>
        <v>7.0000000000000001E-3</v>
      </c>
      <c r="M20">
        <f>SQRT(9.81*L20/H20*100)</f>
        <v>0.37059411760037425</v>
      </c>
      <c r="N20">
        <v>4.5</v>
      </c>
      <c r="O20" s="1" t="s">
        <v>41</v>
      </c>
      <c r="P20" s="1" t="s">
        <v>41</v>
      </c>
      <c r="Q20" s="1">
        <f>(N20*G20)*100</f>
        <v>0</v>
      </c>
      <c r="R20">
        <f>Tableau2[[#This Row],[U(cm/s]]/20</f>
        <v>0</v>
      </c>
      <c r="S20" s="11" t="s">
        <v>41</v>
      </c>
      <c r="T20" s="11" t="s">
        <v>41</v>
      </c>
      <c r="U20">
        <v>0</v>
      </c>
      <c r="V20">
        <f>IF(K20=0,0,(20*0.3/K20))</f>
        <v>0</v>
      </c>
      <c r="W20">
        <f>IF(K20=0,0,(0.3*ABS(R20)/(K20)))</f>
        <v>0</v>
      </c>
      <c r="X20">
        <f>IF(E20=0,0,(0.63*ABS(R20)/(2*PI()/E20) ))</f>
        <v>0</v>
      </c>
      <c r="Y20">
        <f>0.19*X20</f>
        <v>0</v>
      </c>
      <c r="Z20">
        <v>0</v>
      </c>
      <c r="AA20">
        <f>IF(K20=0,0,ABS(R20/(K20*0.5*H20)))</f>
        <v>0</v>
      </c>
      <c r="AB20">
        <v>0</v>
      </c>
    </row>
    <row r="21" spans="1:28" x14ac:dyDescent="0.2">
      <c r="A21" s="10">
        <v>45397</v>
      </c>
      <c r="B21" s="7"/>
      <c r="C21" s="7" t="s">
        <v>55</v>
      </c>
      <c r="D21" s="7"/>
      <c r="E21" s="7"/>
      <c r="F21" s="7"/>
      <c r="G21" s="7"/>
      <c r="H21" s="7"/>
      <c r="I21" s="7">
        <v>15</v>
      </c>
      <c r="J21" s="7">
        <v>40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x14ac:dyDescent="0.2">
      <c r="A22" s="12">
        <v>45397</v>
      </c>
      <c r="B22" t="s">
        <v>56</v>
      </c>
      <c r="E22">
        <v>0</v>
      </c>
      <c r="F22">
        <v>120</v>
      </c>
      <c r="G22">
        <f>IF(E22=0, 2*PI()*(1/F22),2*PI()*(1/F22-1/E22))</f>
        <v>5.2359877559829883E-2</v>
      </c>
      <c r="H22">
        <v>50</v>
      </c>
      <c r="I22">
        <v>15</v>
      </c>
      <c r="J22">
        <v>40</v>
      </c>
      <c r="K22">
        <f>IF(E22=0,0,2*(2*PI()/E22))</f>
        <v>0</v>
      </c>
      <c r="L22">
        <f>0.0002*(J22-I22)</f>
        <v>5.0000000000000001E-3</v>
      </c>
      <c r="M22">
        <f>SQRT(9.81*L22/H22*100)</f>
        <v>0.3132091952673165</v>
      </c>
      <c r="N22">
        <v>4.5</v>
      </c>
      <c r="O22" s="1" t="s">
        <v>41</v>
      </c>
      <c r="P22" s="9" t="s">
        <v>45</v>
      </c>
      <c r="Q22" s="1">
        <f>(N22*G22)*100</f>
        <v>23.561944901923447</v>
      </c>
      <c r="R22">
        <f>Tableau2[[#This Row],[U(cm/s]]/20</f>
        <v>1.1780972450961724</v>
      </c>
      <c r="S22" s="9" t="s">
        <v>45</v>
      </c>
      <c r="T22" s="1">
        <v>1.5</v>
      </c>
      <c r="U22">
        <f>IF(M22=0,300,(( 0.8*H22/100) /(2^(1/4)  *(R22/100) *M22 ^(-1/2)) )^2)</f>
        <v>255.31551551701887</v>
      </c>
      <c r="V22">
        <f>IF(K22=0,0,(20*0.3/K22))</f>
        <v>0</v>
      </c>
      <c r="W22">
        <f>IF(K22=0,0,(0.3*ABS(R22)/(K22)))</f>
        <v>0</v>
      </c>
      <c r="X22">
        <f>IF(E22=0,0,(0.63*ABS(R22)/(2*PI()/E22) ))</f>
        <v>0</v>
      </c>
      <c r="Y22">
        <f>0.19*X22</f>
        <v>0</v>
      </c>
      <c r="Z22">
        <f>M22^2 * 0.5*(H22) /(2*R22^2)</f>
        <v>0.88352072136118531</v>
      </c>
      <c r="AA22">
        <f>IF(K22=0,0,ABS(R22/(K22*0.5*H22)))</f>
        <v>0</v>
      </c>
      <c r="AB22">
        <f>ABS(Tableau2[[#This Row],[U(cm/s]]/100)/SQRT(Tableau2[[#This Row],[D omega]]*(10^(-6)))</f>
        <v>1029.70263697174</v>
      </c>
    </row>
    <row r="23" spans="1:28" x14ac:dyDescent="0.2">
      <c r="A23" s="13">
        <v>45398</v>
      </c>
      <c r="B23" s="7"/>
      <c r="C23" s="7" t="s">
        <v>57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x14ac:dyDescent="0.2">
      <c r="A24" s="12">
        <v>45398</v>
      </c>
      <c r="B24" t="s">
        <v>58</v>
      </c>
      <c r="E24">
        <v>120</v>
      </c>
      <c r="F24">
        <v>60</v>
      </c>
      <c r="G24">
        <f>IF(E24=0, 2*PI()*(1/F24),2*PI()*(1/F24-1/E24))</f>
        <v>5.2359877559829883E-2</v>
      </c>
      <c r="H24">
        <v>50</v>
      </c>
      <c r="I24">
        <v>15</v>
      </c>
      <c r="J24">
        <v>40</v>
      </c>
      <c r="K24">
        <f>IF(E24=0,0,2*(2*PI()/E24))</f>
        <v>0.10471975511965977</v>
      </c>
      <c r="L24">
        <f>0.0002*(J24-I24)</f>
        <v>5.0000000000000001E-3</v>
      </c>
      <c r="M24">
        <f>SQRT(9.81*L24/H24*100)</f>
        <v>0.3132091952673165</v>
      </c>
      <c r="N24">
        <v>4.5</v>
      </c>
      <c r="O24" s="1" t="s">
        <v>41</v>
      </c>
      <c r="P24" s="9" t="s">
        <v>45</v>
      </c>
      <c r="Q24" s="1">
        <f>(N24*G24)*100</f>
        <v>23.561944901923447</v>
      </c>
      <c r="R24">
        <f>Tableau2[[#This Row],[U(cm/s]]/20</f>
        <v>1.1780972450961724</v>
      </c>
      <c r="S24" s="9" t="s">
        <v>45</v>
      </c>
      <c r="T24" s="1">
        <v>1.5</v>
      </c>
      <c r="U24">
        <f>IF(M24=0,300,(( 0.8*H24/100) /(2^(1/4)  *(R24/100) *M24 ^(-1/2)) )^2)</f>
        <v>255.31551551701887</v>
      </c>
      <c r="V24">
        <f>IF(K24=0,0,(20*0.3/K24))</f>
        <v>57.295779513082323</v>
      </c>
      <c r="W24">
        <f>IF(K24=0,0,(0.3*ABS(R24)/(K24)))</f>
        <v>3.375</v>
      </c>
      <c r="X24">
        <f>IF(E24=0,0,(0.63*ABS(R24)/(2*PI()/E24) ))</f>
        <v>14.175000000000001</v>
      </c>
      <c r="Y24">
        <f>0.19*X24</f>
        <v>2.6932500000000004</v>
      </c>
      <c r="Z24">
        <f>M24^2 * 0.5*(H24) /(2*R24^2)</f>
        <v>0.88352072136118531</v>
      </c>
      <c r="AA24">
        <f>IF(K24=0,0,ABS(R24/(K24*0.5*H24)))</f>
        <v>0.45000000000000007</v>
      </c>
      <c r="AB24">
        <f>ABS(Tableau2[[#This Row],[U(cm/s]]/100)/SQRT(Tableau2[[#This Row],[D omega]]*(10^(-6)))</f>
        <v>1029.70263697174</v>
      </c>
    </row>
    <row r="25" spans="1:28" x14ac:dyDescent="0.2">
      <c r="A25" s="13">
        <v>45399</v>
      </c>
      <c r="B25" s="7"/>
      <c r="C25" s="7" t="s">
        <v>59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x14ac:dyDescent="0.2">
      <c r="A26" s="12">
        <v>45399</v>
      </c>
      <c r="B26" t="s">
        <v>60</v>
      </c>
      <c r="E26">
        <v>100</v>
      </c>
      <c r="F26">
        <v>54.5</v>
      </c>
      <c r="G26">
        <f>IF(E26=0, 2*PI()*(1/F26),2*PI()*(1/F26-1/E26))</f>
        <v>5.2455950729664441E-2</v>
      </c>
      <c r="H26">
        <v>50</v>
      </c>
      <c r="I26">
        <v>15</v>
      </c>
      <c r="J26">
        <v>50</v>
      </c>
      <c r="K26">
        <f>IF(E26=0,0,2*(2*PI()/E26))</f>
        <v>0.12566370614359174</v>
      </c>
      <c r="L26">
        <f>0.0002*(J26-I26)</f>
        <v>7.0000000000000001E-3</v>
      </c>
      <c r="M26">
        <f>SQRT(9.81*L26/H26*100)</f>
        <v>0.37059411760037425</v>
      </c>
      <c r="N26">
        <v>4.5</v>
      </c>
      <c r="O26" s="1" t="s">
        <v>41</v>
      </c>
      <c r="P26" s="9" t="s">
        <v>45</v>
      </c>
      <c r="Q26" s="1">
        <f>(N26*G26)*100</f>
        <v>23.605177828348999</v>
      </c>
      <c r="R26">
        <f>Tableau2[[#This Row],[U(cm/s]]/20</f>
        <v>1.1802588914174499</v>
      </c>
      <c r="S26" s="9" t="s">
        <v>45</v>
      </c>
      <c r="T26" s="1">
        <v>1.5</v>
      </c>
      <c r="U26">
        <f>IF(M26=0,300,(( 0.8*H26/100) /(2^(1/4)  *(R26/100) *M26 ^(-1/2)) )^2)</f>
        <v>300.98783607292023</v>
      </c>
      <c r="V26">
        <f>IF(K26=0,0,(20*0.3/K26))</f>
        <v>47.7464829275686</v>
      </c>
      <c r="W26">
        <f>IF(K26=0,0,(0.3*ABS(R26)/(K26)))</f>
        <v>2.8176605504587156</v>
      </c>
      <c r="X26">
        <f>IF(E26=0,0,(0.63*ABS(R26)/(2*PI()/E26) ))</f>
        <v>11.834174311926606</v>
      </c>
      <c r="Y26">
        <f>0.19*X26</f>
        <v>2.2484931192660551</v>
      </c>
      <c r="Z26">
        <f>M26^2 * 0.5*(H26) /(2*R26^2)</f>
        <v>1.2324022835648825</v>
      </c>
      <c r="AA26">
        <f>IF(K26=0,0,ABS(R26/(K26*0.5*H26)))</f>
        <v>0.37568807339449539</v>
      </c>
      <c r="AB26">
        <f>ABS(Tableau2[[#This Row],[U(cm/s]]/100)/SQRT(Tableau2[[#This Row],[D omega]]*(10^(-6)))</f>
        <v>1030.6468853471131</v>
      </c>
    </row>
    <row r="27" spans="1:28" x14ac:dyDescent="0.2">
      <c r="A27" s="13">
        <v>45400</v>
      </c>
      <c r="B27" s="7"/>
      <c r="C27" s="7" t="s">
        <v>61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x14ac:dyDescent="0.2">
      <c r="A28" s="12">
        <v>45400</v>
      </c>
      <c r="B28" t="s">
        <v>62</v>
      </c>
      <c r="E28">
        <v>80</v>
      </c>
      <c r="F28">
        <v>48</v>
      </c>
      <c r="G28">
        <f>IF(E28=0, 2*PI()*(1/F28),2*PI()*(1/F28-1/E28))</f>
        <v>5.2359877559829876E-2</v>
      </c>
      <c r="H28">
        <v>50</v>
      </c>
      <c r="I28">
        <v>15</v>
      </c>
      <c r="J28">
        <v>40</v>
      </c>
      <c r="K28">
        <f>IF(E28=0,0,2*(2*PI()/E28))</f>
        <v>0.15707963267948966</v>
      </c>
      <c r="L28">
        <f>0.0002*(J28-I28)</f>
        <v>5.0000000000000001E-3</v>
      </c>
      <c r="M28">
        <f>SQRT(9.81*L28/H28*100)</f>
        <v>0.3132091952673165</v>
      </c>
      <c r="N28">
        <v>4.5</v>
      </c>
      <c r="O28" s="1" t="s">
        <v>41</v>
      </c>
      <c r="P28" s="14" t="s">
        <v>45</v>
      </c>
      <c r="Q28" s="1">
        <f>(N28*G28)*100</f>
        <v>23.561944901923443</v>
      </c>
      <c r="R28">
        <f>Tableau2[[#This Row],[U(cm/s]]/20</f>
        <v>1.1780972450961722</v>
      </c>
      <c r="S28" s="9" t="s">
        <v>45</v>
      </c>
      <c r="T28" s="1">
        <v>1.5</v>
      </c>
      <c r="U28">
        <f>IF(M28=0,300,(( 0.8*H28/100) /(2^(1/4)  *(R28/100) *M28 ^(-1/2)) )^2)</f>
        <v>255.31551551701892</v>
      </c>
      <c r="V28">
        <f>IF(K28=0,0,(20*0.3/K28))</f>
        <v>38.197186342054884</v>
      </c>
      <c r="W28">
        <f>IF(K28=0,0,(0.3*ABS(R28)/(K28)))</f>
        <v>2.2499999999999996</v>
      </c>
      <c r="X28">
        <f>IF(E28=0,0,(0.63*ABS(R28)/(2*PI()/E28) ))</f>
        <v>9.4499999999999993</v>
      </c>
      <c r="Y28">
        <f>0.19*X28</f>
        <v>1.7954999999999999</v>
      </c>
      <c r="Z28">
        <f>M28^2 * 0.5*(H28) /(2*R28^2)</f>
        <v>0.88352072136118565</v>
      </c>
      <c r="AA28">
        <f>IF(K28=0,0,ABS(R28/(K28*0.5*H28)))</f>
        <v>0.29999999999999993</v>
      </c>
      <c r="AB28">
        <f>ABS(Tableau2[[#This Row],[U(cm/s]]/100)/SQRT(Tableau2[[#This Row],[D omega]]*(10^(-6)))</f>
        <v>1029.70263697174</v>
      </c>
    </row>
    <row r="29" spans="1:28" x14ac:dyDescent="0.2">
      <c r="A29" s="13">
        <v>45401</v>
      </c>
      <c r="B29" s="7"/>
      <c r="C29" s="7" t="s">
        <v>63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x14ac:dyDescent="0.2">
      <c r="A30" s="12">
        <v>45401</v>
      </c>
      <c r="B30" t="s">
        <v>64</v>
      </c>
      <c r="E30">
        <v>0</v>
      </c>
      <c r="F30">
        <v>120</v>
      </c>
      <c r="G30">
        <f>IF(E30=0, 2*PI()*(1/F30),2*PI()*(1/F30-1/E30))</f>
        <v>5.2359877559829883E-2</v>
      </c>
      <c r="H30">
        <v>50</v>
      </c>
      <c r="I30">
        <v>15</v>
      </c>
      <c r="J30">
        <v>50</v>
      </c>
      <c r="K30">
        <f>IF(E30=0,0,2*(2*PI()/E30))</f>
        <v>0</v>
      </c>
      <c r="L30">
        <f>0.0002*(J30-I30)</f>
        <v>7.0000000000000001E-3</v>
      </c>
      <c r="M30">
        <f>SQRT(9.81*L30/H30*100)</f>
        <v>0.37059411760037425</v>
      </c>
      <c r="N30">
        <v>4.5</v>
      </c>
      <c r="O30" s="1" t="s">
        <v>41</v>
      </c>
      <c r="P30" s="14" t="s">
        <v>45</v>
      </c>
      <c r="Q30" s="1">
        <f>(N30*G30)*100</f>
        <v>23.561944901923447</v>
      </c>
      <c r="R30">
        <f>Tableau2[[#This Row],[U(cm/s]]/20</f>
        <v>1.1780972450961724</v>
      </c>
      <c r="S30" s="9" t="s">
        <v>45</v>
      </c>
      <c r="T30" s="1">
        <v>1.5</v>
      </c>
      <c r="U30">
        <f>IF(M30=0,300,(( 0.8*H30/100) /(2^(1/4)  *(R30/100) *M30 ^(-1/2)) )^2)</f>
        <v>302.09339193237844</v>
      </c>
      <c r="V30">
        <f>IF(K30=0,0,(20*0.3/K30))</f>
        <v>0</v>
      </c>
      <c r="W30">
        <f>IF(K30=0,0,(0.3*ABS(R30)/(K30)))</f>
        <v>0</v>
      </c>
      <c r="X30">
        <f>IF(E30=0,0,(0.63*ABS(R30)/(2*PI()/E30) ))</f>
        <v>0</v>
      </c>
      <c r="Y30">
        <f>0.19*X30</f>
        <v>0</v>
      </c>
      <c r="Z30">
        <f>M30^2 * 0.5*(H30) /(2*R30^2)</f>
        <v>1.2369290099056598</v>
      </c>
      <c r="AA30">
        <f>IF(K30=0,0,ABS(R30/(K30*0.5*H30)))</f>
        <v>0</v>
      </c>
      <c r="AB30">
        <f>ABS(Tableau2[[#This Row],[U(cm/s]]/100)/SQRT(Tableau2[[#This Row],[D omega]]*(10^(-6)))</f>
        <v>1029.70263697174</v>
      </c>
    </row>
    <row r="31" spans="1:28" x14ac:dyDescent="0.2">
      <c r="A31" s="13">
        <v>45404</v>
      </c>
      <c r="B31" s="7"/>
      <c r="C31" s="7" t="s">
        <v>65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x14ac:dyDescent="0.2">
      <c r="A32" s="12">
        <v>45404</v>
      </c>
      <c r="B32" t="s">
        <v>66</v>
      </c>
      <c r="E32">
        <v>120</v>
      </c>
      <c r="F32">
        <v>60</v>
      </c>
      <c r="G32">
        <f>IF(E32=0, 2*PI()*(1/F32),2*PI()*(1/F32-1/E32))</f>
        <v>5.2359877559829883E-2</v>
      </c>
      <c r="H32">
        <v>50</v>
      </c>
      <c r="I32">
        <v>15</v>
      </c>
      <c r="J32">
        <v>30</v>
      </c>
      <c r="K32">
        <f>IF(E32=0,0,2*(2*PI()/E32))</f>
        <v>0.10471975511965977</v>
      </c>
      <c r="L32">
        <f>0.0002*(J32-I32)</f>
        <v>3.0000000000000001E-3</v>
      </c>
      <c r="M32">
        <f>SQRT(9.81*L32/H32*100)</f>
        <v>0.24261079942986874</v>
      </c>
      <c r="N32">
        <v>4.5</v>
      </c>
      <c r="O32" s="1" t="s">
        <v>41</v>
      </c>
      <c r="P32" s="9" t="s">
        <v>45</v>
      </c>
      <c r="Q32" s="1">
        <f>(N32*G32)*100</f>
        <v>23.561944901923447</v>
      </c>
      <c r="R32">
        <f>Tableau2[[#This Row],[U(cm/s]]/20</f>
        <v>1.1780972450961724</v>
      </c>
      <c r="S32" s="9" t="s">
        <v>45</v>
      </c>
      <c r="T32" s="1">
        <v>1.5</v>
      </c>
      <c r="U32">
        <f>IF(M32=0,300,(( 0.8*H32/100) /(2^(1/4)  *(R32/100) *M32 ^(-1/2)) )^2)</f>
        <v>197.76654792515512</v>
      </c>
      <c r="V32">
        <f>IF(K32=0,0,(20*0.3/K32))</f>
        <v>57.295779513082323</v>
      </c>
      <c r="W32">
        <f>IF(K32=0,0,(0.3*ABS(R32)/(K32)))</f>
        <v>3.375</v>
      </c>
      <c r="X32">
        <f>IF(E32=0,0,(0.63*ABS(R32)/(2*PI()/E32) ))</f>
        <v>14.175000000000001</v>
      </c>
      <c r="Y32">
        <f>0.19*X32</f>
        <v>2.6932500000000004</v>
      </c>
      <c r="Z32">
        <f>M32^2 * 0.5*(H32) /(2*R32^2)</f>
        <v>0.53011243281671117</v>
      </c>
      <c r="AA32">
        <f>IF(K32=0,0,ABS(R32/(K32*0.5*H32)))</f>
        <v>0.45000000000000007</v>
      </c>
      <c r="AB32">
        <f>ABS(Tableau2[[#This Row],[U(cm/s]]/100)/SQRT(Tableau2[[#This Row],[D omega]]*(10^(-6)))</f>
        <v>1029.70263697174</v>
      </c>
    </row>
    <row r="33" spans="1:28" x14ac:dyDescent="0.2">
      <c r="A33" s="13">
        <v>45405</v>
      </c>
      <c r="B33" s="7"/>
      <c r="C33" s="7" t="s">
        <v>67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2">
      <c r="A34" s="12">
        <v>45405</v>
      </c>
      <c r="B34" t="s">
        <v>68</v>
      </c>
      <c r="E34">
        <v>100</v>
      </c>
      <c r="F34">
        <v>54.5</v>
      </c>
      <c r="G34">
        <f>IF(E34=0, 2*PI()*(1/F34),2*PI()*(1/F34-1/E34))</f>
        <v>5.2455950729664441E-2</v>
      </c>
      <c r="H34">
        <v>50</v>
      </c>
      <c r="I34">
        <v>15</v>
      </c>
      <c r="J34">
        <v>40</v>
      </c>
      <c r="K34">
        <f>IF(E34=0,0,2*(2*PI()/E34))</f>
        <v>0.12566370614359174</v>
      </c>
      <c r="L34">
        <f>0.0002*(J34-I34)</f>
        <v>5.0000000000000001E-3</v>
      </c>
      <c r="M34">
        <f>SQRT(9.81*L34/H34*100)</f>
        <v>0.3132091952673165</v>
      </c>
      <c r="N34">
        <v>4.5</v>
      </c>
      <c r="O34" s="1" t="s">
        <v>41</v>
      </c>
      <c r="P34" s="9" t="s">
        <v>45</v>
      </c>
      <c r="Q34" s="1">
        <f>(N34*G34)*100</f>
        <v>23.605177828348999</v>
      </c>
      <c r="R34">
        <f>Tableau2[[#This Row],[U(cm/s]]/20</f>
        <v>1.1802588914174499</v>
      </c>
      <c r="S34" s="9" t="s">
        <v>45</v>
      </c>
      <c r="T34" s="1">
        <v>1.5</v>
      </c>
      <c r="U34">
        <f>IF(M34=0,300,(( 0.8*H34/100) /(2^(1/4)  *(R34/100) *M34 ^(-1/2)) )^2)</f>
        <v>254.38115027855775</v>
      </c>
      <c r="V34">
        <f>IF(K34=0,0,(20*0.3/K34))</f>
        <v>47.7464829275686</v>
      </c>
      <c r="W34">
        <f>IF(K34=0,0,(0.3*ABS(R34)/(K34)))</f>
        <v>2.8176605504587156</v>
      </c>
      <c r="X34">
        <f>IF(E34=0,0,(0.63*ABS(R34)/(2*PI()/E34) ))</f>
        <v>11.834174311926606</v>
      </c>
      <c r="Y34">
        <f>0.19*X34</f>
        <v>2.2484931192660551</v>
      </c>
      <c r="Z34">
        <f>M34^2 * 0.5*(H34) /(2*R34^2)</f>
        <v>0.8802873454034873</v>
      </c>
      <c r="AA34">
        <f>IF(K34=0,0,ABS(R34/(K34*0.5*H34)))</f>
        <v>0.37568807339449539</v>
      </c>
      <c r="AB34">
        <f>ABS(Tableau2[[#This Row],[U(cm/s]]/100)/SQRT(Tableau2[[#This Row],[D omega]]*(10^(-6)))</f>
        <v>1030.6468853471131</v>
      </c>
    </row>
    <row r="35" spans="1:28" x14ac:dyDescent="0.2">
      <c r="A35" s="13">
        <v>45406</v>
      </c>
      <c r="B35" s="7"/>
      <c r="C35" s="7" t="s">
        <v>69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x14ac:dyDescent="0.2">
      <c r="A36" s="12">
        <v>45406</v>
      </c>
      <c r="B36" t="s">
        <v>70</v>
      </c>
      <c r="E36">
        <v>0</v>
      </c>
      <c r="F36">
        <v>120</v>
      </c>
      <c r="G36">
        <f>IF(E36=0, 2*PI()*(1/F36),2*PI()*(1/F36-1/E36))</f>
        <v>5.2359877559829883E-2</v>
      </c>
      <c r="H36">
        <v>50</v>
      </c>
      <c r="I36">
        <v>15</v>
      </c>
      <c r="J36">
        <v>30</v>
      </c>
      <c r="K36">
        <f>IF(E36=0,0,2*(2*PI()/E36))</f>
        <v>0</v>
      </c>
      <c r="L36">
        <f>0.0002*(J36-I36)</f>
        <v>3.0000000000000001E-3</v>
      </c>
      <c r="M36">
        <f>SQRT(9.81*L36/H36*100)</f>
        <v>0.24261079942986874</v>
      </c>
      <c r="N36">
        <v>4.5</v>
      </c>
      <c r="O36" s="1" t="s">
        <v>41</v>
      </c>
      <c r="P36" s="14" t="s">
        <v>45</v>
      </c>
      <c r="Q36" s="1">
        <f>(N36*G36)*100</f>
        <v>23.561944901923447</v>
      </c>
      <c r="R36">
        <f>Tableau2[[#This Row],[U(cm/s]]/20</f>
        <v>1.1780972450961724</v>
      </c>
      <c r="S36" s="9" t="s">
        <v>45</v>
      </c>
      <c r="T36" s="1">
        <v>1.5</v>
      </c>
      <c r="U36">
        <f>IF(M36=0,300,(( 0.8*H36/100) /(2^(1/4)  *(R36/100) *M36 ^(-1/2)) )^2)</f>
        <v>197.76654792515512</v>
      </c>
      <c r="V36">
        <f>IF(K36=0,0,(20*0.3/K36))</f>
        <v>0</v>
      </c>
      <c r="W36">
        <f>IF(K36=0,0,(0.3*ABS(R36)/(K36)))</f>
        <v>0</v>
      </c>
      <c r="X36">
        <f>IF(E36=0,0,(0.63*ABS(R36)/(2*PI()/E36) ))</f>
        <v>0</v>
      </c>
      <c r="Y36">
        <f>0.19*X36</f>
        <v>0</v>
      </c>
      <c r="Z36">
        <f>M36^2 * 0.5*(H36) /(2*R36^2)</f>
        <v>0.53011243281671117</v>
      </c>
      <c r="AA36">
        <f>IF(K36=0,0,ABS(R36/(K36*0.5*H36)))</f>
        <v>0</v>
      </c>
      <c r="AB36">
        <f>ABS(Tableau2[[#This Row],[U(cm/s]]/100)/SQRT(Tableau2[[#This Row],[D omega]]*(10^(-6)))</f>
        <v>1029.70263697174</v>
      </c>
    </row>
    <row r="37" spans="1:28" x14ac:dyDescent="0.2">
      <c r="A37" s="13">
        <v>45407</v>
      </c>
      <c r="B37" s="7"/>
      <c r="C37" s="7" t="s">
        <v>71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x14ac:dyDescent="0.2">
      <c r="A38" s="12">
        <v>45407</v>
      </c>
      <c r="B38" t="s">
        <v>72</v>
      </c>
      <c r="E38">
        <v>0</v>
      </c>
      <c r="F38">
        <v>120</v>
      </c>
      <c r="G38">
        <f>IF(E38=0, 2*PI()*(1/F38),2*PI()*(1/F38-1/E38))</f>
        <v>5.2359877559829883E-2</v>
      </c>
      <c r="H38">
        <v>50</v>
      </c>
      <c r="I38" t="s">
        <v>40</v>
      </c>
      <c r="J38" t="s">
        <v>40</v>
      </c>
      <c r="K38">
        <f>IF(E38=0,0,2*(2*PI()/E38))</f>
        <v>0</v>
      </c>
      <c r="L38">
        <v>5.0000000000000001E-3</v>
      </c>
      <c r="M38">
        <f>SQRT(9.81*L38/H38*100)</f>
        <v>0.3132091952673165</v>
      </c>
      <c r="N38">
        <v>4.5</v>
      </c>
      <c r="O38" s="14" t="s">
        <v>45</v>
      </c>
      <c r="P38" s="9" t="s">
        <v>45</v>
      </c>
      <c r="Q38" s="1">
        <f>(N38*G38)*100</f>
        <v>23.561944901923447</v>
      </c>
      <c r="R38">
        <f>Tableau2[[#This Row],[U(cm/s]]/20</f>
        <v>1.1780972450961724</v>
      </c>
      <c r="S38" s="9" t="s">
        <v>45</v>
      </c>
      <c r="T38" s="1">
        <v>1.5</v>
      </c>
      <c r="U38">
        <f>IF(M38=0,300,(( 0.8*H38/100) /(2^(1/4)  *(R38/100) *M38 ^(-1/2)) )^2)</f>
        <v>255.31551551701887</v>
      </c>
      <c r="V38">
        <f>IF(K38=0,0,(20*0.3/K38))</f>
        <v>0</v>
      </c>
      <c r="W38">
        <f>IF(K38=0,0,(0.3*ABS(R38)/(K38)))</f>
        <v>0</v>
      </c>
      <c r="X38">
        <f>IF(E38=0,0,(0.63*ABS(R38)/(2*PI()/E38) ))</f>
        <v>0</v>
      </c>
      <c r="Y38">
        <f>0.19*X38</f>
        <v>0</v>
      </c>
      <c r="Z38">
        <f>M38^2 * 0.5*(H38) /(2*R38^2)</f>
        <v>0.88352072136118531</v>
      </c>
      <c r="AA38">
        <f>IF(K38=0,0,ABS(R38/(K38*0.5*H38)))</f>
        <v>0</v>
      </c>
      <c r="AB38">
        <f>ABS(Tableau2[[#This Row],[U(cm/s]]/100)/SQRT(Tableau2[[#This Row],[D omega]]*(10^(-6)))</f>
        <v>1029.70263697174</v>
      </c>
    </row>
    <row r="39" spans="1:28" x14ac:dyDescent="0.2">
      <c r="A39" s="12">
        <v>45407</v>
      </c>
      <c r="B39" t="s">
        <v>73</v>
      </c>
      <c r="E39">
        <v>120</v>
      </c>
      <c r="F39">
        <v>60</v>
      </c>
      <c r="G39">
        <f>IF(E39=0, 2*PI()*(1/F39),2*PI()*(1/F39-1/E39))</f>
        <v>5.2359877559829883E-2</v>
      </c>
      <c r="H39">
        <v>50</v>
      </c>
      <c r="I39" t="s">
        <v>40</v>
      </c>
      <c r="J39" t="s">
        <v>40</v>
      </c>
      <c r="K39">
        <f>IF(E39=0,0,2*(2*PI()/E39))</f>
        <v>0.10471975511965977</v>
      </c>
      <c r="L39">
        <v>0</v>
      </c>
      <c r="M39">
        <f>SQRT(9.81*L39/H39*100)</f>
        <v>0</v>
      </c>
      <c r="N39">
        <v>4.5</v>
      </c>
      <c r="O39" s="14" t="s">
        <v>45</v>
      </c>
      <c r="P39" s="1" t="s">
        <v>41</v>
      </c>
      <c r="Q39" s="1">
        <f>(N39*G39)*100</f>
        <v>23.561944901923447</v>
      </c>
      <c r="R39">
        <f>Tableau2[[#This Row],[U(cm/s]]/20</f>
        <v>1.1780972450961724</v>
      </c>
      <c r="S39" s="9" t="s">
        <v>45</v>
      </c>
      <c r="T39" s="1">
        <v>1.5</v>
      </c>
      <c r="U39">
        <f>IF(M39=0,300,(( 0.8*H39/100) /(2^(1/4)  *(R39/100) *M39 ^(-1/2)) )^2)</f>
        <v>300</v>
      </c>
      <c r="V39">
        <f>IF(K39=0,0,(20*0.3/K39))</f>
        <v>57.295779513082323</v>
      </c>
      <c r="W39">
        <f>IF(K39=0,0,(0.3*ABS(R39)/(K39)))</f>
        <v>3.375</v>
      </c>
      <c r="X39">
        <f>IF(E39=0,0,(0.63*ABS(R39)/(2*PI()/E39) ))</f>
        <v>14.175000000000001</v>
      </c>
      <c r="Y39">
        <f>0.19*X39</f>
        <v>2.6932500000000004</v>
      </c>
      <c r="Z39">
        <f>M39^2 * 0.5*(H39) /(2*R39^2)</f>
        <v>0</v>
      </c>
      <c r="AA39">
        <f>IF(K39=0,0,ABS(R39/(K39*0.5*H39)))</f>
        <v>0.45000000000000007</v>
      </c>
      <c r="AB39">
        <f>ABS(Tableau2[[#This Row],[U(cm/s]]/100)/SQRT(Tableau2[[#This Row],[D omega]]*(10^(-6)))</f>
        <v>1029.70263697174</v>
      </c>
    </row>
    <row r="40" spans="1:28" x14ac:dyDescent="0.2">
      <c r="A40" s="12">
        <v>45407</v>
      </c>
      <c r="B40" t="s">
        <v>74</v>
      </c>
      <c r="E40">
        <v>80</v>
      </c>
      <c r="F40">
        <v>48</v>
      </c>
      <c r="G40">
        <f>IF(E40=0, 2*PI()*(1/F40),2*PI()*(1/F40-1/E40))</f>
        <v>5.2359877559829876E-2</v>
      </c>
      <c r="H40">
        <v>50</v>
      </c>
      <c r="I40" t="s">
        <v>40</v>
      </c>
      <c r="J40" t="s">
        <v>40</v>
      </c>
      <c r="K40">
        <f>IF(E40=0,0,2*(2*PI()/E40))</f>
        <v>0.15707963267948966</v>
      </c>
      <c r="L40">
        <v>0</v>
      </c>
      <c r="M40">
        <f>SQRT(9.81*L40/H40*100)</f>
        <v>0</v>
      </c>
      <c r="N40">
        <v>4.5</v>
      </c>
      <c r="O40" s="14" t="s">
        <v>45</v>
      </c>
      <c r="P40" s="1" t="s">
        <v>41</v>
      </c>
      <c r="Q40" s="1">
        <f>(N40*G40)*100</f>
        <v>23.561944901923443</v>
      </c>
      <c r="R40">
        <f>Tableau2[[#This Row],[U(cm/s]]/20</f>
        <v>1.1780972450961722</v>
      </c>
      <c r="S40" s="9" t="s">
        <v>45</v>
      </c>
      <c r="T40" s="1">
        <v>1.5</v>
      </c>
      <c r="U40">
        <f>IF(M40=0,300,(( 0.8*H40/100) /(2^(1/4)  *(R40/100) *M40 ^(-1/2)) )^2)</f>
        <v>300</v>
      </c>
      <c r="V40">
        <f>IF(K40=0,0,(20*0.3/K40))</f>
        <v>38.197186342054884</v>
      </c>
      <c r="W40">
        <f>(0.3*ABS(R40)/(K40))</f>
        <v>2.2499999999999996</v>
      </c>
      <c r="X40">
        <f>IF(E40=0,0,(0.63*ABS(R40)/(2*PI()/E40) ))</f>
        <v>9.4499999999999993</v>
      </c>
      <c r="Y40">
        <f>0.19*X40</f>
        <v>1.7954999999999999</v>
      </c>
      <c r="Z40">
        <f>M40^2 * 0.5*(H40) /(2*R40^2)</f>
        <v>0</v>
      </c>
      <c r="AA40">
        <f>IF(K40=0,0,ABS(R40/(K40*0.5*H40)))</f>
        <v>0.29999999999999993</v>
      </c>
      <c r="AB40">
        <f>ABS(Tableau2[[#This Row],[U(cm/s]]/100)/SQRT(Tableau2[[#This Row],[D omega]]*(10^(-6)))</f>
        <v>1029.70263697174</v>
      </c>
    </row>
    <row r="41" spans="1:28" x14ac:dyDescent="0.2">
      <c r="A41" s="12">
        <v>45408</v>
      </c>
      <c r="B41" t="s">
        <v>75</v>
      </c>
      <c r="E41">
        <v>0</v>
      </c>
      <c r="F41">
        <v>120</v>
      </c>
      <c r="G41">
        <f>IF(E41=0, 2*PI()*(1/F41),2*PI()*(1/F41-1/E41))</f>
        <v>5.2359877559829883E-2</v>
      </c>
      <c r="H41">
        <v>50</v>
      </c>
      <c r="I41" t="s">
        <v>40</v>
      </c>
      <c r="J41" t="s">
        <v>40</v>
      </c>
      <c r="K41">
        <f>IF(E41=0,0,2*(2*PI()/E41))</f>
        <v>0</v>
      </c>
      <c r="L41">
        <v>0</v>
      </c>
      <c r="M41">
        <f>SQRT(9.81*L41/H41*100)</f>
        <v>0</v>
      </c>
      <c r="N41">
        <v>4.5</v>
      </c>
      <c r="O41" s="14" t="s">
        <v>45</v>
      </c>
      <c r="P41" s="1" t="s">
        <v>41</v>
      </c>
      <c r="Q41" s="1">
        <f>(N41*G41)*100</f>
        <v>23.561944901923447</v>
      </c>
      <c r="R41">
        <f>Tableau2[[#This Row],[U(cm/s]]/20</f>
        <v>1.1780972450961724</v>
      </c>
      <c r="S41" s="9" t="s">
        <v>45</v>
      </c>
      <c r="T41" s="1">
        <v>1.5</v>
      </c>
      <c r="U41">
        <f>IF(M41=0,300,(( 0.8*H41/100) /(2^(1/4)  *(R41/100) *M41 ^(-1/2)) )^2)</f>
        <v>300</v>
      </c>
      <c r="V41">
        <f>IF(K41=0,0,(20*0.3/K41))</f>
        <v>0</v>
      </c>
      <c r="W41" t="e">
        <f>(0.3*ABS(R41)/(K41))</f>
        <v>#DIV/0!</v>
      </c>
      <c r="X41">
        <f>IF(E41=0,0,(0.63*ABS(R41)/(2*PI()/E41) ))</f>
        <v>0</v>
      </c>
      <c r="Y41">
        <f>0.19*X41</f>
        <v>0</v>
      </c>
      <c r="Z41">
        <f>M41^2 * 0.5*(H41) /(2*R41^2)</f>
        <v>0</v>
      </c>
      <c r="AA41">
        <f>IF(K41=0,0,ABS(R41/(K41*0.5*H41)))</f>
        <v>0</v>
      </c>
      <c r="AB41">
        <f>ABS(Tableau2[[#This Row],[U(cm/s]]/100)/SQRT(Tableau2[[#This Row],[D omega]]*(10^(-6)))</f>
        <v>1029.70263697174</v>
      </c>
    </row>
    <row r="42" spans="1:28" x14ac:dyDescent="0.2">
      <c r="A42" s="12">
        <v>45408</v>
      </c>
      <c r="B42" t="s">
        <v>76</v>
      </c>
      <c r="E42">
        <v>120</v>
      </c>
      <c r="F42">
        <v>60</v>
      </c>
      <c r="G42">
        <f>IF(E42=0, 2*PI()*(1/F42),2*PI()*(1/F42-1/E42))</f>
        <v>5.2359877559829883E-2</v>
      </c>
      <c r="H42">
        <v>50</v>
      </c>
      <c r="I42" t="s">
        <v>40</v>
      </c>
      <c r="J42" t="s">
        <v>40</v>
      </c>
      <c r="K42">
        <f>IF(E42=0,0,2*(2*PI()/E42))</f>
        <v>0.10471975511965977</v>
      </c>
      <c r="L42">
        <v>0</v>
      </c>
      <c r="M42">
        <f>SQRT(9.81*L42/H42*100)</f>
        <v>0</v>
      </c>
      <c r="N42">
        <v>4.5</v>
      </c>
      <c r="O42" s="14" t="s">
        <v>45</v>
      </c>
      <c r="P42" s="1" t="s">
        <v>41</v>
      </c>
      <c r="Q42" s="1">
        <f>(N42*G42)*100</f>
        <v>23.561944901923447</v>
      </c>
      <c r="R42">
        <f>Tableau2[[#This Row],[U(cm/s]]/20</f>
        <v>1.1780972450961724</v>
      </c>
      <c r="S42" s="9" t="s">
        <v>45</v>
      </c>
      <c r="T42" s="1">
        <v>1.5</v>
      </c>
      <c r="U42">
        <f>IF(M42=0,300,(( 0.8*H42/100) /(2^(1/4)  *(R42/100) *M42 ^(-1/2)) )^2)</f>
        <v>300</v>
      </c>
      <c r="V42">
        <f>IF(K42=0,0,(20*0.3/K42))</f>
        <v>57.295779513082323</v>
      </c>
      <c r="W42">
        <f>(0.3*ABS(R42)/(K42))</f>
        <v>3.375</v>
      </c>
      <c r="X42">
        <f>IF(E42=0,0,(0.63*ABS(R42)/(2*PI()/E42) ))</f>
        <v>14.175000000000001</v>
      </c>
      <c r="Y42">
        <f>0.19*X42</f>
        <v>2.6932500000000004</v>
      </c>
      <c r="Z42">
        <f>M42^2 * 0.5*(H42) /(2*R42^2)</f>
        <v>0</v>
      </c>
      <c r="AA42">
        <f>IF(K42=0,0,ABS(R42/(K42*0.5*H42)))</f>
        <v>0.45000000000000007</v>
      </c>
      <c r="AB42">
        <f>ABS(Tableau2[[#This Row],[U(cm/s]]/100)/SQRT(Tableau2[[#This Row],[D omega]]*(10^(-6)))</f>
        <v>1029.70263697174</v>
      </c>
    </row>
    <row r="43" spans="1:28" x14ac:dyDescent="0.2">
      <c r="A43" s="13">
        <v>45408</v>
      </c>
      <c r="B43" s="7"/>
      <c r="C43" s="7" t="s">
        <v>77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2">
      <c r="A44" s="12">
        <v>45408</v>
      </c>
      <c r="B44" t="s">
        <v>78</v>
      </c>
      <c r="E44">
        <v>120</v>
      </c>
      <c r="F44">
        <v>60</v>
      </c>
      <c r="G44">
        <f>IF(E44=0, 2*PI()*(1/F44),2*PI()*(1/F44-1/E44))</f>
        <v>5.2359877559829883E-2</v>
      </c>
      <c r="H44">
        <v>50</v>
      </c>
      <c r="I44" t="s">
        <v>40</v>
      </c>
      <c r="J44" t="s">
        <v>40</v>
      </c>
      <c r="K44">
        <f>IF(E44=0,0,2*(2*PI()/E44))</f>
        <v>0.10471975511965977</v>
      </c>
      <c r="L44">
        <v>5.0000000000000001E-3</v>
      </c>
      <c r="M44">
        <f>SQRT(9.81*L44/H44*100)</f>
        <v>0.3132091952673165</v>
      </c>
      <c r="N44">
        <v>4.5</v>
      </c>
      <c r="O44" s="14" t="s">
        <v>45</v>
      </c>
      <c r="P44" s="14" t="s">
        <v>45</v>
      </c>
      <c r="Q44" s="1">
        <f>(N44*G44)*100</f>
        <v>23.561944901923447</v>
      </c>
      <c r="R44">
        <f>Tableau2[[#This Row],[U(cm/s]]/20</f>
        <v>1.1780972450961724</v>
      </c>
      <c r="S44" s="9" t="s">
        <v>45</v>
      </c>
      <c r="T44" s="1">
        <v>1.5</v>
      </c>
      <c r="U44">
        <f>IF(M44=0,300,(( 0.8*H44/100) /(2^(1/4)  *(R44/100) *M44 ^(-1/2)) )^2)</f>
        <v>255.31551551701887</v>
      </c>
      <c r="V44">
        <f>IF(K44=0,0,(20*0.3/K44))</f>
        <v>57.295779513082323</v>
      </c>
      <c r="W44">
        <f>(0.3*ABS(R44)/(K44))</f>
        <v>3.375</v>
      </c>
      <c r="X44">
        <f>IF(E44=0,0,(0.63*ABS(R44)/(2*PI()/E44) ))</f>
        <v>14.175000000000001</v>
      </c>
      <c r="Y44">
        <f>0.19*X44</f>
        <v>2.6932500000000004</v>
      </c>
      <c r="Z44">
        <f>M44^2 * 0.5*(H44) /(2*R44^2)</f>
        <v>0.88352072136118531</v>
      </c>
      <c r="AA44">
        <f>IF(K44=0,0,ABS(R44/(K44*0.5*H44)))</f>
        <v>0.45000000000000007</v>
      </c>
      <c r="AB44">
        <f>ABS(Tableau2[[#This Row],[U(cm/s]]/100)/SQRT(Tableau2[[#This Row],[D omega]]*(10^(-6)))</f>
        <v>1029.70263697174</v>
      </c>
    </row>
    <row r="45" spans="1:28" x14ac:dyDescent="0.2">
      <c r="A45" s="12">
        <v>45408</v>
      </c>
      <c r="B45" t="s">
        <v>79</v>
      </c>
      <c r="E45">
        <v>80</v>
      </c>
      <c r="F45">
        <v>48</v>
      </c>
      <c r="G45">
        <f>IF(E45=0, 2*PI()*(1/F45),2*PI()*(1/F45-1/E45))</f>
        <v>5.2359877559829876E-2</v>
      </c>
      <c r="H45">
        <v>50</v>
      </c>
      <c r="I45" t="s">
        <v>40</v>
      </c>
      <c r="J45" t="s">
        <v>40</v>
      </c>
      <c r="K45">
        <f>IF(E45=0,0,2*(2*PI()/E45))</f>
        <v>0.15707963267948966</v>
      </c>
      <c r="L45">
        <v>0</v>
      </c>
      <c r="M45">
        <f>SQRT(9.81*L45/H45*100)</f>
        <v>0</v>
      </c>
      <c r="N45">
        <v>4.5</v>
      </c>
      <c r="O45" s="14" t="s">
        <v>45</v>
      </c>
      <c r="P45" s="1" t="s">
        <v>41</v>
      </c>
      <c r="Q45" s="1">
        <f>(N45*G45)*100</f>
        <v>23.561944901923443</v>
      </c>
      <c r="R45">
        <f>Tableau2[[#This Row],[U(cm/s]]/20</f>
        <v>1.1780972450961722</v>
      </c>
      <c r="S45" s="9" t="s">
        <v>45</v>
      </c>
      <c r="T45" s="1">
        <v>1.5</v>
      </c>
      <c r="U45">
        <f>IF(M45=0,300,(( 0.8*H45/100) /(2^(1/4)  *(R45/100) *M45 ^(-1/2)) )^2)</f>
        <v>300</v>
      </c>
      <c r="V45">
        <f>IF(K45=0,0,(20*0.3/K45))</f>
        <v>38.197186342054884</v>
      </c>
      <c r="W45">
        <f>(0.3*ABS(R45)/(K45))</f>
        <v>2.2499999999999996</v>
      </c>
      <c r="X45">
        <f>IF(E45=0,0,(0.63*ABS(R45)/(2*PI()/E45) ))</f>
        <v>9.4499999999999993</v>
      </c>
      <c r="Y45">
        <f>0.19*X45</f>
        <v>1.7954999999999999</v>
      </c>
      <c r="Z45">
        <f>M45^2 * 0.5*(H45) /(2*R45^2)</f>
        <v>0</v>
      </c>
      <c r="AA45">
        <f>IF(K45=0,0,ABS(R45/(K45*0.5*H45)))</f>
        <v>0.29999999999999993</v>
      </c>
      <c r="AB45">
        <f>ABS(Tableau2[[#This Row],[U(cm/s]]/100)/SQRT(Tableau2[[#This Row],[D omega]]*(10^(-6)))</f>
        <v>1029.70263697174</v>
      </c>
    </row>
    <row r="46" spans="1:28" x14ac:dyDescent="0.2">
      <c r="A46" s="12">
        <v>45409</v>
      </c>
      <c r="B46" t="s">
        <v>80</v>
      </c>
      <c r="E46">
        <v>0</v>
      </c>
      <c r="F46">
        <v>120</v>
      </c>
      <c r="G46">
        <f>IF(E46=0, 2*PI()*(1/F46),2*PI()*(1/F46-1/E46))</f>
        <v>5.2359877559829883E-2</v>
      </c>
      <c r="H46">
        <v>50</v>
      </c>
      <c r="I46" t="s">
        <v>40</v>
      </c>
      <c r="J46" t="s">
        <v>40</v>
      </c>
      <c r="K46">
        <f>IF(E46=0,0,2*(2*PI()/E46))</f>
        <v>0</v>
      </c>
      <c r="L46">
        <v>0</v>
      </c>
      <c r="M46">
        <f>SQRT(9.81*L46/H46*100)</f>
        <v>0</v>
      </c>
      <c r="N46">
        <v>4.5</v>
      </c>
      <c r="O46" s="14" t="s">
        <v>45</v>
      </c>
      <c r="P46" s="1" t="s">
        <v>41</v>
      </c>
      <c r="Q46" s="1">
        <f>(N46*G46)*100</f>
        <v>23.561944901923447</v>
      </c>
      <c r="R46">
        <f>Tableau2[[#This Row],[U(cm/s]]/20</f>
        <v>1.1780972450961724</v>
      </c>
      <c r="S46" s="9" t="s">
        <v>45</v>
      </c>
      <c r="T46" s="1">
        <v>1.5</v>
      </c>
      <c r="U46">
        <f>IF(M46=0,300,(( 0.8*H46/100) /(2^(1/4)  *(R46/100) *M46 ^(-1/2)) )^2)</f>
        <v>300</v>
      </c>
      <c r="V46">
        <f>IF(K46=0,0,(20*0.3/K46))</f>
        <v>0</v>
      </c>
      <c r="W46" t="e">
        <f>(0.3*ABS(R46)/(K46))</f>
        <v>#DIV/0!</v>
      </c>
      <c r="X46">
        <f>IF(E46=0,0,(0.63*ABS(R46)/(2*PI()/E46) ))</f>
        <v>0</v>
      </c>
      <c r="Y46">
        <f>0.19*X46</f>
        <v>0</v>
      </c>
      <c r="Z46">
        <f>M46^2 * 0.5*(H46) /(2*R46^2)</f>
        <v>0</v>
      </c>
      <c r="AA46">
        <f>IF(K46=0,0,ABS(R46/(K46*0.5*H46)))</f>
        <v>0</v>
      </c>
      <c r="AB46">
        <f>ABS(Tableau2[[#This Row],[U(cm/s]]/100)/SQRT(Tableau2[[#This Row],[D omega]]*(10^(-6)))</f>
        <v>1029.70263697174</v>
      </c>
    </row>
    <row r="47" spans="1:28" x14ac:dyDescent="0.2">
      <c r="A47" s="15">
        <v>45409</v>
      </c>
      <c r="B47" s="7"/>
      <c r="C47" s="7" t="s">
        <v>81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2">
      <c r="A48" s="12">
        <v>45409</v>
      </c>
      <c r="B48" t="s">
        <v>82</v>
      </c>
      <c r="E48">
        <v>0</v>
      </c>
      <c r="F48">
        <v>120</v>
      </c>
      <c r="G48">
        <f>IF(E48=0, 2*PI()*(1/F48),2*PI()*(1/F48-1/E48))</f>
        <v>5.2359877559829883E-2</v>
      </c>
      <c r="H48">
        <v>50</v>
      </c>
      <c r="I48" t="s">
        <v>40</v>
      </c>
      <c r="J48" t="s">
        <v>40</v>
      </c>
      <c r="K48">
        <f>IF(E48=0,0,2*(2*PI()/E48))</f>
        <v>0</v>
      </c>
      <c r="L48">
        <v>0.04</v>
      </c>
      <c r="M48">
        <f>SQRT(9.81*L48/H48*100)</f>
        <v>0.88588938361400404</v>
      </c>
      <c r="N48">
        <v>4.5</v>
      </c>
      <c r="O48" s="14" t="s">
        <v>45</v>
      </c>
      <c r="P48" s="14" t="s">
        <v>45</v>
      </c>
      <c r="Q48" s="1">
        <f>(N48*G48)*100</f>
        <v>23.561944901923447</v>
      </c>
      <c r="R48">
        <f>Tableau2[[#This Row],[U(cm/s]]/20</f>
        <v>1.1780972450961724</v>
      </c>
      <c r="S48" s="9" t="s">
        <v>45</v>
      </c>
      <c r="T48" s="1">
        <v>1.5</v>
      </c>
      <c r="U48">
        <f>IF(M48=0,300,(( 0.8*H48/100) /(2^(1/4)  *(R48/100) *M48 ^(-1/2)) )^2)</f>
        <v>722.141329456893</v>
      </c>
      <c r="V48">
        <f>IF(K48=0,0,(20*0.3/K48))</f>
        <v>0</v>
      </c>
      <c r="W48" t="e">
        <f>(0.3*ABS(R48)/(K48))</f>
        <v>#DIV/0!</v>
      </c>
      <c r="X48">
        <f>IF(E48=0,0,(0.63*ABS(R48)/(2*PI()/E48) ))</f>
        <v>0</v>
      </c>
      <c r="Y48">
        <f>0.19*X48</f>
        <v>0</v>
      </c>
      <c r="Z48">
        <f>M48^2 * 0.5*(H48) /(2*R48^2)</f>
        <v>7.0681657708894834</v>
      </c>
      <c r="AA48">
        <f>IF(K48=0,0,ABS(R48/(K48*0.5*H48)))</f>
        <v>0</v>
      </c>
      <c r="AB48">
        <f>ABS(Tableau2[[#This Row],[U(cm/s]]/100)/SQRT(Tableau2[[#This Row],[D omega]]*(10^(-6)))</f>
        <v>1029.70263697174</v>
      </c>
    </row>
    <row r="49" spans="1:28" x14ac:dyDescent="0.2">
      <c r="A49" s="12">
        <v>45409</v>
      </c>
      <c r="B49" t="s">
        <v>83</v>
      </c>
      <c r="E49">
        <v>120</v>
      </c>
      <c r="F49">
        <v>60</v>
      </c>
      <c r="G49">
        <f>IF(E49=0, 2*PI()*(1/F49),2*PI()*(1/F49-1/E49))</f>
        <v>5.2359877559829883E-2</v>
      </c>
      <c r="H49">
        <v>50</v>
      </c>
      <c r="I49" t="s">
        <v>40</v>
      </c>
      <c r="J49" t="s">
        <v>40</v>
      </c>
      <c r="K49">
        <f>IF(E49=0,0,2*(2*PI()/E49))</f>
        <v>0.10471975511965977</v>
      </c>
      <c r="L49">
        <v>0</v>
      </c>
      <c r="M49">
        <f>SQRT(9.81*L49/H49*100)</f>
        <v>0</v>
      </c>
      <c r="N49">
        <v>4.5</v>
      </c>
      <c r="O49" s="14" t="s">
        <v>45</v>
      </c>
      <c r="P49" s="1" t="s">
        <v>41</v>
      </c>
      <c r="Q49" s="1">
        <f>(N49*G49)*100</f>
        <v>23.561944901923447</v>
      </c>
      <c r="R49">
        <f>Tableau2[[#This Row],[U(cm/s]]/20</f>
        <v>1.1780972450961724</v>
      </c>
      <c r="S49" s="9" t="s">
        <v>45</v>
      </c>
      <c r="T49" s="1">
        <v>1.5</v>
      </c>
      <c r="U49">
        <f>IF(M49=0,300,(( 0.8*H49/100) /(2^(1/4)  *(R49/100) *M49 ^(-1/2)) )^2)</f>
        <v>300</v>
      </c>
      <c r="V49">
        <f>IF(K49=0,0,(20*0.3/K49))</f>
        <v>57.295779513082323</v>
      </c>
      <c r="W49">
        <f>(0.3*ABS(R49)/(K49))</f>
        <v>3.375</v>
      </c>
      <c r="X49">
        <f>IF(E49=0,0,(0.63*ABS(R49)/(2*PI()/E49) ))</f>
        <v>14.175000000000001</v>
      </c>
      <c r="Y49">
        <f>0.19*X49</f>
        <v>2.6932500000000004</v>
      </c>
      <c r="Z49">
        <f>M49^2 * 0.5*(H49) /(2*R49^2)</f>
        <v>0</v>
      </c>
      <c r="AA49">
        <f>IF(K49=0,0,ABS(R49/(K49*0.5*H49)))</f>
        <v>0.45000000000000007</v>
      </c>
      <c r="AB49">
        <f>ABS(Tableau2[[#This Row],[U(cm/s]]/100)/SQRT(Tableau2[[#This Row],[D omega]]*(10^(-6)))</f>
        <v>1029.70263697174</v>
      </c>
    </row>
    <row r="50" spans="1:28" x14ac:dyDescent="0.2">
      <c r="A50" s="12">
        <v>45409</v>
      </c>
      <c r="B50" t="s">
        <v>84</v>
      </c>
      <c r="E50">
        <v>80</v>
      </c>
      <c r="F50">
        <v>48</v>
      </c>
      <c r="G50">
        <f>IF(E50=0, 2*PI()*(1/F50),2*PI()*(1/F50-1/E50))</f>
        <v>5.2359877559829876E-2</v>
      </c>
      <c r="H50">
        <v>50</v>
      </c>
      <c r="I50" t="s">
        <v>40</v>
      </c>
      <c r="J50" t="s">
        <v>40</v>
      </c>
      <c r="K50">
        <f>IF(E50=0,0,2*(2*PI()/E50))</f>
        <v>0.15707963267948966</v>
      </c>
      <c r="L50">
        <v>0</v>
      </c>
      <c r="M50">
        <f>SQRT(9.81*L50/H50*100)</f>
        <v>0</v>
      </c>
      <c r="N50">
        <v>4.5</v>
      </c>
      <c r="O50" s="14" t="s">
        <v>45</v>
      </c>
      <c r="P50" s="1" t="s">
        <v>41</v>
      </c>
      <c r="Q50" s="1">
        <f>(N50*G50)*100</f>
        <v>23.561944901923443</v>
      </c>
      <c r="R50">
        <f>Tableau2[[#This Row],[U(cm/s]]/20</f>
        <v>1.1780972450961722</v>
      </c>
      <c r="S50" s="9" t="s">
        <v>45</v>
      </c>
      <c r="T50" s="1">
        <v>1.5</v>
      </c>
      <c r="U50">
        <f>IF(M50=0,300,(( 0.8*H50/100) /(2^(1/4)  *(R50/100) *M50 ^(-1/2)) )^2)</f>
        <v>300</v>
      </c>
      <c r="V50">
        <f>IF(K50=0,0,(20*0.3/K50))</f>
        <v>38.197186342054884</v>
      </c>
      <c r="W50">
        <f>(0.3*ABS(R50)/(K50))</f>
        <v>2.2499999999999996</v>
      </c>
      <c r="X50">
        <f>IF(E50=0,0,(0.63*ABS(R50)/(2*PI()/E50) ))</f>
        <v>9.4499999999999993</v>
      </c>
      <c r="Y50">
        <f>0.19*X50</f>
        <v>1.7954999999999999</v>
      </c>
      <c r="Z50">
        <f>M50^2 * 0.5*(H50) /(2*R50^2)</f>
        <v>0</v>
      </c>
      <c r="AA50">
        <f>IF(K50=0,0,ABS(R50/(K50*0.5*H50)))</f>
        <v>0.29999999999999993</v>
      </c>
      <c r="AB50">
        <f>ABS(Tableau2[[#This Row],[U(cm/s]]/100)/SQRT(Tableau2[[#This Row],[D omega]]*(10^(-6)))</f>
        <v>1029.70263697174</v>
      </c>
    </row>
    <row r="51" spans="1:28" x14ac:dyDescent="0.2">
      <c r="A51" s="12">
        <v>45414</v>
      </c>
      <c r="B51" t="s">
        <v>85</v>
      </c>
      <c r="E51">
        <v>0</v>
      </c>
      <c r="F51">
        <v>120</v>
      </c>
      <c r="G51">
        <f>IF(E51=0, 2*PI()*(1/F51),2*PI()*(1/F51-1/E51))</f>
        <v>5.2359877559829883E-2</v>
      </c>
      <c r="H51">
        <v>50</v>
      </c>
      <c r="I51" t="s">
        <v>40</v>
      </c>
      <c r="J51" t="s">
        <v>40</v>
      </c>
      <c r="K51">
        <f>IF(E51=0,0,2*(2*PI()/E51))</f>
        <v>0</v>
      </c>
      <c r="L51">
        <v>0</v>
      </c>
      <c r="M51">
        <f>SQRT(9.81*L51/H51*100)</f>
        <v>0</v>
      </c>
      <c r="N51">
        <v>4.5</v>
      </c>
      <c r="O51" s="14" t="s">
        <v>45</v>
      </c>
      <c r="P51" s="1" t="s">
        <v>41</v>
      </c>
      <c r="Q51" s="1">
        <f>(N51*G51)*100</f>
        <v>23.561944901923447</v>
      </c>
      <c r="R51">
        <f>Tableau2[[#This Row],[U(cm/s]]/20</f>
        <v>1.1780972450961724</v>
      </c>
      <c r="S51" s="9" t="s">
        <v>45</v>
      </c>
      <c r="T51" s="1">
        <v>1.5</v>
      </c>
      <c r="U51">
        <f>IF(M51=0,300,(( 0.8*H51/100) /(2^(1/4)  *(R51/100) *M51 ^(-1/2)) )^2)</f>
        <v>300</v>
      </c>
      <c r="V51">
        <f>IF(K51=0,0,(20*0.3/K51))</f>
        <v>0</v>
      </c>
      <c r="W51" t="e">
        <f>(0.3*ABS(R51)/(K51))</f>
        <v>#DIV/0!</v>
      </c>
      <c r="X51">
        <f>IF(E51=0,0,(0.63*ABS(R51)/(2*PI()/E51) ))</f>
        <v>0</v>
      </c>
      <c r="Y51">
        <f>0.19*X51</f>
        <v>0</v>
      </c>
      <c r="Z51">
        <f>M51^2 * 0.5*(H51) /(2*R51^2)</f>
        <v>0</v>
      </c>
      <c r="AA51">
        <f>IF(K51=0,0,ABS(R51/(K51*0.5*H51)))</f>
        <v>0</v>
      </c>
      <c r="AB51">
        <f>ABS(Tableau2[[#This Row],[U(cm/s]]/100)/SQRT(Tableau2[[#This Row],[D omega]]*(10^(-6)))</f>
        <v>1029.70263697174</v>
      </c>
    </row>
    <row r="52" spans="1:28" x14ac:dyDescent="0.2">
      <c r="A52" s="15">
        <v>45414</v>
      </c>
      <c r="B52" s="7"/>
      <c r="C52" s="7" t="s">
        <v>86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2">
      <c r="A53" s="12">
        <v>45414</v>
      </c>
      <c r="E53">
        <v>120</v>
      </c>
      <c r="F53">
        <v>60</v>
      </c>
      <c r="G53">
        <f>IF(E53=0, 2*PI()*(1/F53),2*PI()*(1/F53-1/E53))</f>
        <v>5.2359877559829883E-2</v>
      </c>
      <c r="H53">
        <v>50</v>
      </c>
      <c r="I53" t="s">
        <v>40</v>
      </c>
      <c r="J53" t="s">
        <v>40</v>
      </c>
      <c r="K53">
        <f>IF(E53=0,0,2*(2*PI()/E53))</f>
        <v>0.10471975511965977</v>
      </c>
      <c r="L53">
        <v>0.04</v>
      </c>
      <c r="M53">
        <f>SQRT(9.81*L53/H53*100)</f>
        <v>0.88588938361400404</v>
      </c>
      <c r="N53">
        <v>4.5</v>
      </c>
      <c r="O53" s="14" t="s">
        <v>45</v>
      </c>
      <c r="P53" s="1" t="s">
        <v>41</v>
      </c>
      <c r="Q53" s="1">
        <f>(N53*G53)*100</f>
        <v>23.561944901923447</v>
      </c>
      <c r="R53">
        <f>Tableau2[[#This Row],[U(cm/s]]/20</f>
        <v>1.1780972450961724</v>
      </c>
      <c r="S53" s="9" t="s">
        <v>45</v>
      </c>
      <c r="T53" s="1">
        <v>1.5</v>
      </c>
      <c r="U53">
        <f>IF(M53=0,300,(( 0.8*H53/100) /(2^(1/4)  *(R53/100) *M53 ^(-1/2)) )^2)</f>
        <v>722.141329456893</v>
      </c>
      <c r="V53">
        <f>IF(K53=0,0,(20*0.3/K53))</f>
        <v>57.295779513082323</v>
      </c>
      <c r="W53">
        <f>(0.3*ABS(R53)/(K53))</f>
        <v>3.375</v>
      </c>
      <c r="X53">
        <f>IF(E53=0,0,(0.63*ABS(R53)/(2*PI()/E53) ))</f>
        <v>14.175000000000001</v>
      </c>
      <c r="Y53">
        <f>0.19*X53</f>
        <v>2.6932500000000004</v>
      </c>
      <c r="Z53">
        <f>M53^2 * 0.5*(H53) /(2*R53^2)</f>
        <v>7.0681657708894834</v>
      </c>
      <c r="AA53">
        <f>IF(K53=0,0,ABS(R53/(K53*0.5*H53)))</f>
        <v>0.45000000000000007</v>
      </c>
      <c r="AB53">
        <f>ABS(Tableau2[[#This Row],[U(cm/s]]/100)/SQRT(Tableau2[[#This Row],[D omega]]*(10^(-6)))</f>
        <v>1029.70263697174</v>
      </c>
    </row>
    <row r="54" spans="1:28" x14ac:dyDescent="0.2">
      <c r="Q54" s="1"/>
      <c r="T54" s="1"/>
    </row>
    <row r="55" spans="1:28" x14ac:dyDescent="0.2">
      <c r="Q55" s="1"/>
      <c r="T55" s="1"/>
    </row>
    <row r="56" spans="1:28" x14ac:dyDescent="0.2">
      <c r="T56" s="1"/>
    </row>
    <row r="57" spans="1:28" x14ac:dyDescent="0.2">
      <c r="T57" s="1"/>
    </row>
    <row r="58" spans="1:28" x14ac:dyDescent="0.2">
      <c r="T58" s="1"/>
    </row>
    <row r="59" spans="1:28" x14ac:dyDescent="0.2">
      <c r="T59" s="1"/>
    </row>
    <row r="60" spans="1:28" x14ac:dyDescent="0.2">
      <c r="T60" s="1"/>
    </row>
    <row r="61" spans="1:28" x14ac:dyDescent="0.2">
      <c r="T61" s="1"/>
    </row>
    <row r="62" spans="1:28" x14ac:dyDescent="0.2">
      <c r="T62" s="1"/>
    </row>
    <row r="63" spans="1:28" x14ac:dyDescent="0.2">
      <c r="T63" s="1"/>
    </row>
    <row r="64" spans="1:28" x14ac:dyDescent="0.2">
      <c r="T64" s="1"/>
    </row>
    <row r="65" spans="20:20" x14ac:dyDescent="0.2">
      <c r="T65" s="1"/>
    </row>
    <row r="66" spans="20:20" x14ac:dyDescent="0.2">
      <c r="T66" s="1"/>
    </row>
    <row r="67" spans="20:20" x14ac:dyDescent="0.2">
      <c r="T67" s="1"/>
    </row>
  </sheetData>
  <conditionalFormatting sqref="A23">
    <cfRule type="containsText" dxfId="79" priority="92" operator="containsText" text="NON">
      <formula>NOT(ISERROR(SEARCH("NON",A23)))</formula>
    </cfRule>
    <cfRule type="containsText" dxfId="78" priority="93" operator="containsText" text="OUI">
      <formula>NOT(ISERROR(SEARCH("OUI",A23)))</formula>
    </cfRule>
  </conditionalFormatting>
  <conditionalFormatting sqref="A25">
    <cfRule type="containsText" dxfId="77" priority="90" operator="containsText" text="NON">
      <formula>NOT(ISERROR(SEARCH("NON",A25)))</formula>
    </cfRule>
    <cfRule type="containsText" dxfId="76" priority="91" operator="containsText" text="OUI">
      <formula>NOT(ISERROR(SEARCH("OUI",A25)))</formula>
    </cfRule>
  </conditionalFormatting>
  <conditionalFormatting sqref="A43">
    <cfRule type="containsText" dxfId="75" priority="54" operator="containsText" text="NON">
      <formula>NOT(ISERROR(SEARCH("NON",A43)))</formula>
    </cfRule>
    <cfRule type="containsText" dxfId="74" priority="55" operator="containsText" text="OUI">
      <formula>NOT(ISERROR(SEARCH("OUI",A43)))</formula>
    </cfRule>
  </conditionalFormatting>
  <conditionalFormatting sqref="A27:B27">
    <cfRule type="containsText" dxfId="73" priority="4" operator="containsText" text="NON">
      <formula>NOT(ISERROR(SEARCH("NON",A27)))</formula>
    </cfRule>
    <cfRule type="containsText" dxfId="72" priority="5" operator="containsText" text="OUI">
      <formula>NOT(ISERROR(SEARCH("OUI",A27)))</formula>
    </cfRule>
  </conditionalFormatting>
  <conditionalFormatting sqref="A33:B33">
    <cfRule type="containsText" dxfId="71" priority="24" operator="containsText" text="NON">
      <formula>NOT(ISERROR(SEARCH("NON",A33)))</formula>
    </cfRule>
    <cfRule type="containsText" dxfId="70" priority="25" operator="containsText" text="OUI">
      <formula>NOT(ISERROR(SEARCH("OUI",A33)))</formula>
    </cfRule>
  </conditionalFormatting>
  <conditionalFormatting sqref="A35:B35">
    <cfRule type="containsText" dxfId="69" priority="30" operator="containsText" text="NON">
      <formula>NOT(ISERROR(SEARCH("NON",A35)))</formula>
    </cfRule>
    <cfRule type="containsText" dxfId="68" priority="31" operator="containsText" text="OUI">
      <formula>NOT(ISERROR(SEARCH("OUI",A35)))</formula>
    </cfRule>
  </conditionalFormatting>
  <conditionalFormatting sqref="A37:B37">
    <cfRule type="containsText" dxfId="67" priority="32" operator="containsText" text="NON">
      <formula>NOT(ISERROR(SEARCH("NON",A37)))</formula>
    </cfRule>
    <cfRule type="containsText" dxfId="66" priority="33" operator="containsText" text="OUI">
      <formula>NOT(ISERROR(SEARCH("OUI",A37)))</formula>
    </cfRule>
  </conditionalFormatting>
  <conditionalFormatting sqref="B29">
    <cfRule type="containsText" dxfId="65" priority="95" operator="containsText" text="OUI">
      <formula>NOT(ISERROR(SEARCH("OUI",B29)))</formula>
    </cfRule>
    <cfRule type="containsText" dxfId="64" priority="94" operator="containsText" text="NON">
      <formula>NOT(ISERROR(SEARCH("NON",B29)))</formula>
    </cfRule>
  </conditionalFormatting>
  <conditionalFormatting sqref="B47">
    <cfRule type="containsText" dxfId="63" priority="58" operator="containsText" text="NON">
      <formula>NOT(ISERROR(SEARCH("NON",B47)))</formula>
    </cfRule>
    <cfRule type="containsText" dxfId="62" priority="59" operator="containsText" text="OUI">
      <formula>NOT(ISERROR(SEARCH("OUI",B47)))</formula>
    </cfRule>
  </conditionalFormatting>
  <conditionalFormatting sqref="B52">
    <cfRule type="containsText" dxfId="61" priority="74" operator="containsText" text="NON">
      <formula>NOT(ISERROR(SEARCH("NON",B52)))</formula>
    </cfRule>
    <cfRule type="containsText" dxfId="60" priority="75" operator="containsText" text="OUI">
      <formula>NOT(ISERROR(SEARCH("OUI",B52)))</formula>
    </cfRule>
  </conditionalFormatting>
  <conditionalFormatting sqref="B9:AB9 T17:T18 B18:F18 H18 A19:AB19 B20:F20 H20:J20 A21:AB21 B23 D23:AB23 B25 D25:AE25 D27:AB27 C27:C31 A29 D29:AB29 A31:B31 D31:AB31">
    <cfRule type="containsText" dxfId="59" priority="2" operator="containsText" text="NON">
      <formula>NOT(ISERROR(SEARCH("NON",A9)))</formula>
    </cfRule>
    <cfRule type="containsText" dxfId="58" priority="3" operator="containsText" text="OUI">
      <formula>NOT(ISERROR(SEARCH("OUI",A9)))</formula>
    </cfRule>
  </conditionalFormatting>
  <conditionalFormatting sqref="B43:AB43">
    <cfRule type="containsText" dxfId="57" priority="53" operator="containsText" text="OUI">
      <formula>NOT(ISERROR(SEARCH("OUI",B43)))</formula>
    </cfRule>
    <cfRule type="containsText" dxfId="56" priority="52" operator="containsText" text="NON">
      <formula>NOT(ISERROR(SEARCH("NON",B43)))</formula>
    </cfRule>
  </conditionalFormatting>
  <conditionalFormatting sqref="C23 C33">
    <cfRule type="containsText" dxfId="55" priority="43" operator="containsText" text="OUI">
      <formula>NOT(ISERROR(SEARCH("OUI",C23)))</formula>
    </cfRule>
    <cfRule type="containsText" dxfId="54" priority="42" operator="containsText" text="NON">
      <formula>NOT(ISERROR(SEARCH("NON",C23)))</formula>
    </cfRule>
  </conditionalFormatting>
  <conditionalFormatting sqref="C25 C35">
    <cfRule type="containsText" dxfId="53" priority="51" operator="containsText" text="OUI">
      <formula>NOT(ISERROR(SEARCH("OUI",C25)))</formula>
    </cfRule>
    <cfRule type="containsText" dxfId="52" priority="50" operator="containsText" text="NON">
      <formula>NOT(ISERROR(SEARCH("NON",C25)))</formula>
    </cfRule>
  </conditionalFormatting>
  <conditionalFormatting sqref="C37">
    <cfRule type="containsText" dxfId="51" priority="6" operator="containsText" text="NON">
      <formula>NOT(ISERROR(SEARCH("NON",C37)))</formula>
    </cfRule>
    <cfRule type="containsText" dxfId="50" priority="7" operator="containsText" text="OUI">
      <formula>NOT(ISERROR(SEARCH("OUI",C37)))</formula>
    </cfRule>
  </conditionalFormatting>
  <conditionalFormatting sqref="C47">
    <cfRule type="containsText" dxfId="49" priority="56" operator="containsText" text="NON">
      <formula>NOT(ISERROR(SEARCH("NON",C47)))</formula>
    </cfRule>
    <cfRule type="containsText" dxfId="48" priority="57" operator="containsText" text="OUI">
      <formula>NOT(ISERROR(SEARCH("OUI",C47)))</formula>
    </cfRule>
  </conditionalFormatting>
  <conditionalFormatting sqref="C52">
    <cfRule type="containsText" dxfId="47" priority="73" operator="containsText" text="OUI">
      <formula>NOT(ISERROR(SEARCH("OUI",C52)))</formula>
    </cfRule>
    <cfRule type="containsText" dxfId="46" priority="72" operator="containsText" text="NON">
      <formula>NOT(ISERROR(SEARCH("NON",C52)))</formula>
    </cfRule>
  </conditionalFormatting>
  <conditionalFormatting sqref="D33:AB33">
    <cfRule type="containsText" dxfId="45" priority="27" operator="containsText" text="OUI">
      <formula>NOT(ISERROR(SEARCH("OUI",D33)))</formula>
    </cfRule>
    <cfRule type="containsText" dxfId="44" priority="26" operator="containsText" text="NON">
      <formula>NOT(ISERROR(SEARCH("NON",D33)))</formula>
    </cfRule>
  </conditionalFormatting>
  <conditionalFormatting sqref="D35:AB35">
    <cfRule type="containsText" dxfId="43" priority="28" operator="containsText" text="NON">
      <formula>NOT(ISERROR(SEARCH("NON",D35)))</formula>
    </cfRule>
    <cfRule type="containsText" dxfId="42" priority="29" operator="containsText" text="OUI">
      <formula>NOT(ISERROR(SEARCH("OUI",D35)))</formula>
    </cfRule>
  </conditionalFormatting>
  <conditionalFormatting sqref="D37:AB37">
    <cfRule type="containsText" dxfId="41" priority="34" operator="containsText" text="NON">
      <formula>NOT(ISERROR(SEARCH("NON",D37)))</formula>
    </cfRule>
    <cfRule type="containsText" dxfId="40" priority="35" operator="containsText" text="OUI">
      <formula>NOT(ISERROR(SEARCH("OUI",D37)))</formula>
    </cfRule>
  </conditionalFormatting>
  <conditionalFormatting sqref="D47:AB47">
    <cfRule type="containsText" dxfId="39" priority="61" operator="containsText" text="OUI">
      <formula>NOT(ISERROR(SEARCH("OUI",D47)))</formula>
    </cfRule>
    <cfRule type="containsText" dxfId="38" priority="60" operator="containsText" text="NON">
      <formula>NOT(ISERROR(SEARCH("NON",D47)))</formula>
    </cfRule>
  </conditionalFormatting>
  <conditionalFormatting sqref="D52:AB52">
    <cfRule type="containsText" dxfId="37" priority="76" operator="containsText" text="NON">
      <formula>NOT(ISERROR(SEARCH("NON",D52)))</formula>
    </cfRule>
    <cfRule type="containsText" dxfId="36" priority="77" operator="containsText" text="OUI">
      <formula>NOT(ISERROR(SEARCH("OUI",D52)))</formula>
    </cfRule>
  </conditionalFormatting>
  <conditionalFormatting sqref="O10:O18">
    <cfRule type="containsText" dxfId="35" priority="9" operator="containsText" text="OUI">
      <formula>NOT(ISERROR(SEARCH("OUI",O10)))</formula>
    </cfRule>
    <cfRule type="containsText" dxfId="34" priority="8" operator="containsText" text="NON">
      <formula>NOT(ISERROR(SEARCH("NON",O10)))</formula>
    </cfRule>
  </conditionalFormatting>
  <conditionalFormatting sqref="O20 O22">
    <cfRule type="containsText" dxfId="33" priority="10" operator="containsText" text="NON">
      <formula>NOT(ISERROR(SEARCH("NON",O20)))</formula>
    </cfRule>
    <cfRule type="containsText" dxfId="32" priority="11" operator="containsText" text="OUI">
      <formula>NOT(ISERROR(SEARCH("OUI",O20)))</formula>
    </cfRule>
  </conditionalFormatting>
  <conditionalFormatting sqref="O24">
    <cfRule type="containsText" dxfId="31" priority="12" operator="containsText" text="NON">
      <formula>NOT(ISERROR(SEARCH("NON",O24)))</formula>
    </cfRule>
    <cfRule type="containsText" dxfId="30" priority="13" operator="containsText" text="OUI">
      <formula>NOT(ISERROR(SEARCH("OUI",O24)))</formula>
    </cfRule>
  </conditionalFormatting>
  <conditionalFormatting sqref="O26">
    <cfRule type="containsText" dxfId="29" priority="62" operator="containsText" text="NON">
      <formula>NOT(ISERROR(SEARCH("NON",O26)))</formula>
    </cfRule>
    <cfRule type="containsText" dxfId="28" priority="63" operator="containsText" text="OUI">
      <formula>NOT(ISERROR(SEARCH("OUI",O26)))</formula>
    </cfRule>
  </conditionalFormatting>
  <conditionalFormatting sqref="O28">
    <cfRule type="containsText" dxfId="27" priority="15" operator="containsText" text="OUI">
      <formula>NOT(ISERROR(SEARCH("OUI",O28)))</formula>
    </cfRule>
    <cfRule type="containsText" dxfId="26" priority="14" operator="containsText" text="NON">
      <formula>NOT(ISERROR(SEARCH("NON",O28)))</formula>
    </cfRule>
  </conditionalFormatting>
  <conditionalFormatting sqref="O30">
    <cfRule type="containsText" dxfId="25" priority="36" operator="containsText" text="NON">
      <formula>NOT(ISERROR(SEARCH("NON",O30)))</formula>
    </cfRule>
    <cfRule type="containsText" dxfId="24" priority="37" operator="containsText" text="OUI">
      <formula>NOT(ISERROR(SEARCH("OUI",O30)))</formula>
    </cfRule>
  </conditionalFormatting>
  <conditionalFormatting sqref="O32">
    <cfRule type="containsText" dxfId="23" priority="45" operator="containsText" text="OUI">
      <formula>NOT(ISERROR(SEARCH("OUI",O32)))</formula>
    </cfRule>
    <cfRule type="containsText" dxfId="22" priority="44" operator="containsText" text="NON">
      <formula>NOT(ISERROR(SEARCH("NON",O32)))</formula>
    </cfRule>
  </conditionalFormatting>
  <conditionalFormatting sqref="O34">
    <cfRule type="containsText" dxfId="21" priority="47" operator="containsText" text="OUI">
      <formula>NOT(ISERROR(SEARCH("OUI",O34)))</formula>
    </cfRule>
    <cfRule type="containsText" dxfId="20" priority="46" operator="containsText" text="NON">
      <formula>NOT(ISERROR(SEARCH("NON",O34)))</formula>
    </cfRule>
  </conditionalFormatting>
  <conditionalFormatting sqref="O36">
    <cfRule type="containsText" dxfId="19" priority="49" operator="containsText" text="OUI">
      <formula>NOT(ISERROR(SEARCH("OUI",O36)))</formula>
    </cfRule>
    <cfRule type="containsText" dxfId="18" priority="48" operator="containsText" text="NON">
      <formula>NOT(ISERROR(SEARCH("NON",O36)))</formula>
    </cfRule>
  </conditionalFormatting>
  <conditionalFormatting sqref="P17:P18">
    <cfRule type="containsText" dxfId="17" priority="39" operator="containsText" text="OUI">
      <formula>NOT(ISERROR(SEARCH("OUI",P17)))</formula>
    </cfRule>
    <cfRule type="containsText" dxfId="16" priority="38" operator="containsText" text="NON">
      <formula>NOT(ISERROR(SEARCH("NON",P17)))</formula>
    </cfRule>
  </conditionalFormatting>
  <conditionalFormatting sqref="P20">
    <cfRule type="containsText" dxfId="15" priority="19" operator="containsText" text="OUI">
      <formula>NOT(ISERROR(SEARCH("OUI",P20)))</formula>
    </cfRule>
    <cfRule type="containsText" dxfId="14" priority="18" operator="containsText" text="NON">
      <formula>NOT(ISERROR(SEARCH("NON",P20)))</formula>
    </cfRule>
  </conditionalFormatting>
  <conditionalFormatting sqref="P39:P42">
    <cfRule type="containsText" dxfId="13" priority="65" operator="containsText" text="OUI">
      <formula>NOT(ISERROR(SEARCH("OUI",P39)))</formula>
    </cfRule>
    <cfRule type="containsText" dxfId="12" priority="64" operator="containsText" text="NON">
      <formula>NOT(ISERROR(SEARCH("NON",P39)))</formula>
    </cfRule>
  </conditionalFormatting>
  <conditionalFormatting sqref="P45:P46">
    <cfRule type="containsText" dxfId="11" priority="69" operator="containsText" text="OUI">
      <formula>NOT(ISERROR(SEARCH("OUI",P45)))</formula>
    </cfRule>
    <cfRule type="containsText" dxfId="10" priority="68" operator="containsText" text="NON">
      <formula>NOT(ISERROR(SEARCH("NON",P45)))</formula>
    </cfRule>
  </conditionalFormatting>
  <conditionalFormatting sqref="P49:P51">
    <cfRule type="containsText" dxfId="9" priority="83" operator="containsText" text="OUI">
      <formula>NOT(ISERROR(SEARCH("OUI",P49)))</formula>
    </cfRule>
    <cfRule type="containsText" dxfId="8" priority="82" operator="containsText" text="NON">
      <formula>NOT(ISERROR(SEARCH("NON",P49)))</formula>
    </cfRule>
  </conditionalFormatting>
  <conditionalFormatting sqref="P53">
    <cfRule type="containsText" dxfId="7" priority="89" operator="containsText" text="OUI">
      <formula>NOT(ISERROR(SEARCH("OUI",P53)))</formula>
    </cfRule>
    <cfRule type="containsText" dxfId="6" priority="88" operator="containsText" text="NON">
      <formula>NOT(ISERROR(SEARCH("NON",P53)))</formula>
    </cfRule>
  </conditionalFormatting>
  <conditionalFormatting sqref="P10:Q16 Q17:Q18 Q20 Q22 Q24 Q26 Q28 Q30 Q32 Q34 Q36 Q38:Q42 Q44:Q46 Q48:Q51 Q53:Q55">
    <cfRule type="containsText" dxfId="5" priority="17" operator="containsText" text="OUI">
      <formula>NOT(ISERROR(SEARCH("OUI",P10)))</formula>
    </cfRule>
    <cfRule type="containsText" dxfId="4" priority="16" operator="containsText" text="NON">
      <formula>NOT(ISERROR(SEARCH("NON",P10)))</formula>
    </cfRule>
  </conditionalFormatting>
  <conditionalFormatting sqref="S8">
    <cfRule type="containsText" dxfId="3" priority="20" operator="containsText" text="NON">
      <formula>NOT(ISERROR(SEARCH("NON",S8)))</formula>
    </cfRule>
    <cfRule type="containsText" dxfId="2" priority="21" operator="containsText" text="OUI">
      <formula>NOT(ISERROR(SEARCH("OUI",S8)))</formula>
    </cfRule>
  </conditionalFormatting>
  <conditionalFormatting sqref="S10:S12">
    <cfRule type="containsText" dxfId="1" priority="23" operator="containsText" text="OUI">
      <formula>NOT(ISERROR(SEARCH("OUI",S10)))</formula>
    </cfRule>
    <cfRule type="containsText" dxfId="0" priority="22" operator="containsText" text="NON">
      <formula>NOT(ISERROR(SEARCH("NON",S10)))</formula>
    </cfRule>
  </conditionalFormatting>
  <pageMargins left="0.7" right="0.7" top="0.75" bottom="0.75" header="0.511811023622047" footer="0.511811023622047"/>
  <pageSetup paperSize="9" orientation="landscape" horizontalDpi="300" verticalDpi="30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3"/>
  <sheetViews>
    <sheetView topLeftCell="A86" zoomScaleNormal="100" workbookViewId="0">
      <selection activeCell="B136" sqref="B136"/>
    </sheetView>
  </sheetViews>
  <sheetFormatPr baseColWidth="10" defaultColWidth="10.6640625" defaultRowHeight="16" x14ac:dyDescent="0.2"/>
  <cols>
    <col min="1" max="1" width="14.6640625" customWidth="1"/>
    <col min="6" max="6" width="11.1640625" customWidth="1"/>
  </cols>
  <sheetData>
    <row r="1" spans="1:4" x14ac:dyDescent="0.2">
      <c r="A1" s="8">
        <v>45398</v>
      </c>
    </row>
    <row r="3" spans="1:4" x14ac:dyDescent="0.2">
      <c r="A3" t="s">
        <v>173</v>
      </c>
      <c r="B3" t="s">
        <v>174</v>
      </c>
      <c r="C3" t="s">
        <v>175</v>
      </c>
      <c r="D3" t="s">
        <v>176</v>
      </c>
    </row>
    <row r="4" spans="1:4" x14ac:dyDescent="0.2">
      <c r="A4">
        <v>12.8</v>
      </c>
      <c r="B4">
        <v>1.02</v>
      </c>
      <c r="C4">
        <v>0.54</v>
      </c>
      <c r="D4">
        <v>0.53</v>
      </c>
    </row>
    <row r="5" spans="1:4" x14ac:dyDescent="0.2">
      <c r="A5" s="19">
        <v>14.6</v>
      </c>
      <c r="B5">
        <v>0.62</v>
      </c>
      <c r="C5">
        <v>0.14000000000000001</v>
      </c>
      <c r="D5">
        <v>0.17</v>
      </c>
    </row>
    <row r="6" spans="1:4" x14ac:dyDescent="0.2">
      <c r="A6" s="19">
        <v>16.2</v>
      </c>
      <c r="B6" s="20">
        <v>0.18</v>
      </c>
      <c r="C6" s="20">
        <v>-0.26</v>
      </c>
      <c r="D6" s="20">
        <v>-0.24</v>
      </c>
    </row>
    <row r="7" spans="1:4" x14ac:dyDescent="0.2">
      <c r="A7" s="19">
        <v>18.7</v>
      </c>
      <c r="B7" s="20">
        <v>-0.35</v>
      </c>
      <c r="C7" s="20">
        <v>-0.73</v>
      </c>
      <c r="D7" s="20">
        <v>-0.71</v>
      </c>
    </row>
    <row r="8" spans="1:4" x14ac:dyDescent="0.2">
      <c r="A8" s="19">
        <v>26.8</v>
      </c>
      <c r="B8" s="20">
        <v>-1.66</v>
      </c>
      <c r="C8" s="20">
        <v>-1.93</v>
      </c>
      <c r="D8" s="20">
        <v>-1.94</v>
      </c>
    </row>
    <row r="9" spans="1:4" x14ac:dyDescent="0.2">
      <c r="A9" s="19">
        <v>32.9</v>
      </c>
      <c r="B9" s="20">
        <v>-2.38</v>
      </c>
      <c r="C9" s="20">
        <v>-2.56</v>
      </c>
      <c r="D9" s="20">
        <v>-2.57</v>
      </c>
    </row>
    <row r="10" spans="1:4" x14ac:dyDescent="0.2">
      <c r="A10" s="19">
        <v>39.6</v>
      </c>
      <c r="B10" s="20">
        <v>-2.93</v>
      </c>
      <c r="C10" s="20">
        <v>-3.07</v>
      </c>
      <c r="D10" s="20">
        <v>-3.1</v>
      </c>
    </row>
    <row r="11" spans="1:4" x14ac:dyDescent="0.2">
      <c r="A11" s="19">
        <v>55.7</v>
      </c>
      <c r="B11" s="20">
        <v>-3.88</v>
      </c>
      <c r="C11" s="20">
        <v>-3.95</v>
      </c>
      <c r="D11" s="20">
        <v>-3.97</v>
      </c>
    </row>
    <row r="37" spans="1:5" x14ac:dyDescent="0.2">
      <c r="A37" s="8">
        <v>45418</v>
      </c>
    </row>
    <row r="38" spans="1:5" x14ac:dyDescent="0.2">
      <c r="A38" t="s">
        <v>173</v>
      </c>
      <c r="B38" t="s">
        <v>174</v>
      </c>
      <c r="C38" t="s">
        <v>175</v>
      </c>
      <c r="D38" t="s">
        <v>176</v>
      </c>
      <c r="E38" t="s">
        <v>177</v>
      </c>
    </row>
    <row r="39" spans="1:5" x14ac:dyDescent="0.2">
      <c r="A39">
        <v>5.3</v>
      </c>
      <c r="B39" s="20">
        <v>3.38</v>
      </c>
      <c r="C39" s="20">
        <v>2.67</v>
      </c>
      <c r="D39" s="20">
        <v>2.68</v>
      </c>
      <c r="E39" s="21">
        <v>0.78</v>
      </c>
    </row>
    <row r="40" spans="1:5" x14ac:dyDescent="0.2">
      <c r="A40">
        <v>9.6999999999999993</v>
      </c>
      <c r="B40" s="20">
        <v>1.8</v>
      </c>
      <c r="C40" s="20">
        <v>1.24</v>
      </c>
      <c r="D40" s="20">
        <v>1.24</v>
      </c>
      <c r="E40" s="20">
        <v>0.93</v>
      </c>
    </row>
    <row r="41" spans="1:5" x14ac:dyDescent="0.2">
      <c r="A41">
        <v>14.5</v>
      </c>
      <c r="B41" s="20">
        <v>0.48</v>
      </c>
      <c r="C41" s="20">
        <v>0.03</v>
      </c>
      <c r="D41" s="20">
        <v>0.05</v>
      </c>
      <c r="E41" s="20">
        <v>0.9</v>
      </c>
    </row>
    <row r="42" spans="1:5" x14ac:dyDescent="0.2">
      <c r="A42">
        <v>18.100000000000001</v>
      </c>
      <c r="B42" s="20">
        <v>-0.25</v>
      </c>
      <c r="C42" s="20">
        <v>-0.65</v>
      </c>
      <c r="D42" s="20">
        <v>-0.64</v>
      </c>
      <c r="E42" s="20">
        <v>0.86</v>
      </c>
    </row>
    <row r="43" spans="1:5" x14ac:dyDescent="0.2">
      <c r="A43">
        <v>20.9</v>
      </c>
      <c r="B43" s="20">
        <v>-0.68</v>
      </c>
      <c r="C43" s="20">
        <v>-1.04</v>
      </c>
      <c r="D43" s="20">
        <v>-1.03</v>
      </c>
      <c r="E43" s="21">
        <v>0.75</v>
      </c>
    </row>
    <row r="44" spans="1:5" x14ac:dyDescent="0.2">
      <c r="A44" s="19">
        <v>25</v>
      </c>
      <c r="B44" s="20">
        <v>-1.27</v>
      </c>
      <c r="C44" s="20">
        <v>-1.59</v>
      </c>
      <c r="D44" s="20">
        <v>-1.6</v>
      </c>
      <c r="E44" s="21">
        <v>0.74</v>
      </c>
    </row>
    <row r="45" spans="1:5" x14ac:dyDescent="0.2">
      <c r="A45">
        <v>28.6</v>
      </c>
      <c r="B45" s="20">
        <v>-1.88</v>
      </c>
      <c r="C45" s="20">
        <v>-2.15</v>
      </c>
      <c r="D45" s="20">
        <v>-2.14</v>
      </c>
      <c r="E45" s="20">
        <v>0.75</v>
      </c>
    </row>
    <row r="46" spans="1:5" x14ac:dyDescent="0.2">
      <c r="A46">
        <v>35.700000000000003</v>
      </c>
      <c r="B46" s="20">
        <v>-2.65</v>
      </c>
      <c r="C46" s="20">
        <v>-2.83</v>
      </c>
      <c r="D46" s="20">
        <v>-2.84</v>
      </c>
      <c r="E46" s="20">
        <v>0.69</v>
      </c>
    </row>
    <row r="47" spans="1:5" x14ac:dyDescent="0.2">
      <c r="A47">
        <v>45.1</v>
      </c>
      <c r="B47" s="20">
        <v>-3.3</v>
      </c>
      <c r="C47" s="20">
        <v>-3.42</v>
      </c>
      <c r="D47" s="20">
        <v>-3.42</v>
      </c>
      <c r="E47" s="20">
        <v>0.5</v>
      </c>
    </row>
    <row r="48" spans="1:5" x14ac:dyDescent="0.2">
      <c r="A48">
        <v>56.2</v>
      </c>
      <c r="B48" s="20">
        <v>-3.86</v>
      </c>
      <c r="C48" s="20">
        <v>-3.92</v>
      </c>
      <c r="D48" s="20">
        <v>-3.94</v>
      </c>
      <c r="E48" s="20">
        <v>0.33</v>
      </c>
    </row>
    <row r="49" spans="1:5" x14ac:dyDescent="0.2">
      <c r="A49">
        <v>62.3</v>
      </c>
      <c r="B49" s="20">
        <v>-4.0999999999999996</v>
      </c>
      <c r="C49" s="20">
        <v>-4.1500000000000004</v>
      </c>
      <c r="D49" s="20">
        <v>-4.17</v>
      </c>
      <c r="E49" s="20">
        <v>0.26</v>
      </c>
    </row>
    <row r="50" spans="1:5" x14ac:dyDescent="0.2">
      <c r="B50" s="20"/>
      <c r="C50" s="20"/>
      <c r="D50" s="20"/>
      <c r="E50" s="20"/>
    </row>
    <row r="51" spans="1:5" x14ac:dyDescent="0.2">
      <c r="B51" s="20"/>
      <c r="C51" s="20"/>
      <c r="D51" s="20"/>
      <c r="E51" s="20"/>
    </row>
    <row r="52" spans="1:5" x14ac:dyDescent="0.2">
      <c r="B52" s="20"/>
      <c r="C52" s="20"/>
      <c r="D52" s="20"/>
      <c r="E52" s="20"/>
    </row>
    <row r="53" spans="1:5" x14ac:dyDescent="0.2">
      <c r="B53" s="20"/>
      <c r="C53" s="20"/>
      <c r="D53" s="20"/>
      <c r="E53" s="20"/>
    </row>
    <row r="79" spans="1:6" x14ac:dyDescent="0.2">
      <c r="A79" s="8">
        <v>45456</v>
      </c>
    </row>
    <row r="80" spans="1:6" x14ac:dyDescent="0.2">
      <c r="A80" t="s">
        <v>173</v>
      </c>
      <c r="B80" t="s">
        <v>174</v>
      </c>
      <c r="C80" t="s">
        <v>175</v>
      </c>
      <c r="D80" t="s">
        <v>176</v>
      </c>
      <c r="E80" t="s">
        <v>177</v>
      </c>
      <c r="F80" t="s">
        <v>178</v>
      </c>
    </row>
    <row r="81" spans="1:40" x14ac:dyDescent="0.2">
      <c r="A81">
        <v>20.399999999999999</v>
      </c>
      <c r="B81">
        <v>-0.63</v>
      </c>
      <c r="C81">
        <v>-1.01</v>
      </c>
      <c r="D81">
        <v>-1.01</v>
      </c>
      <c r="E81">
        <v>1.31</v>
      </c>
      <c r="F81">
        <v>1.22</v>
      </c>
    </row>
    <row r="82" spans="1:40" x14ac:dyDescent="0.2">
      <c r="A82">
        <v>23.1</v>
      </c>
      <c r="B82">
        <v>-1.08</v>
      </c>
      <c r="C82">
        <v>-1.38</v>
      </c>
      <c r="D82">
        <v>-1.39</v>
      </c>
      <c r="E82">
        <v>1.18</v>
      </c>
      <c r="F82" s="20">
        <v>1.1000000000000001</v>
      </c>
    </row>
    <row r="83" spans="1:40" x14ac:dyDescent="0.2">
      <c r="A83">
        <v>25.3</v>
      </c>
      <c r="B83">
        <v>-1.39</v>
      </c>
      <c r="C83">
        <v>-1.67</v>
      </c>
      <c r="D83">
        <v>-1.63</v>
      </c>
      <c r="E83">
        <v>1.0900000000000001</v>
      </c>
      <c r="F83">
        <v>1.01</v>
      </c>
    </row>
    <row r="84" spans="1:40" x14ac:dyDescent="0.2">
      <c r="A84">
        <v>28.3</v>
      </c>
      <c r="B84">
        <v>-1.78</v>
      </c>
      <c r="C84">
        <v>-2.0499999999999998</v>
      </c>
      <c r="D84">
        <v>-2.08</v>
      </c>
      <c r="E84">
        <v>0.94</v>
      </c>
      <c r="F84">
        <v>0.88</v>
      </c>
    </row>
    <row r="85" spans="1:40" x14ac:dyDescent="0.2">
      <c r="A85">
        <v>36.1</v>
      </c>
      <c r="B85">
        <v>-2.63</v>
      </c>
      <c r="C85">
        <v>-2.82</v>
      </c>
      <c r="D85">
        <v>-2.83</v>
      </c>
      <c r="E85">
        <v>0.69</v>
      </c>
      <c r="F85">
        <v>0.65</v>
      </c>
    </row>
    <row r="86" spans="1:40" x14ac:dyDescent="0.2">
      <c r="A86">
        <v>42.3</v>
      </c>
      <c r="B86">
        <v>-3.16</v>
      </c>
      <c r="C86">
        <v>-3.26</v>
      </c>
      <c r="D86">
        <v>-3.31</v>
      </c>
      <c r="E86">
        <v>0.54</v>
      </c>
      <c r="F86" s="20">
        <v>0.5</v>
      </c>
    </row>
    <row r="87" spans="1:40" x14ac:dyDescent="0.2">
      <c r="A87">
        <v>55.6</v>
      </c>
      <c r="B87">
        <v>-3.79</v>
      </c>
      <c r="C87">
        <v>-3.87</v>
      </c>
      <c r="D87" s="20">
        <v>-3.9</v>
      </c>
      <c r="E87">
        <v>0.36</v>
      </c>
      <c r="F87">
        <v>0.32</v>
      </c>
    </row>
    <row r="88" spans="1:40" x14ac:dyDescent="0.2">
      <c r="AN88">
        <v>-41.728999999999999</v>
      </c>
    </row>
    <row r="89" spans="1:40" x14ac:dyDescent="0.2">
      <c r="AN89">
        <v>128.41999999999999</v>
      </c>
    </row>
    <row r="90" spans="1:40" x14ac:dyDescent="0.2">
      <c r="AN90">
        <v>-154.16999999999999</v>
      </c>
    </row>
    <row r="91" spans="1:40" x14ac:dyDescent="0.2">
      <c r="AN91">
        <v>93.012</v>
      </c>
    </row>
    <row r="95" spans="1:40" x14ac:dyDescent="0.2">
      <c r="A95" s="8">
        <v>45506</v>
      </c>
      <c r="AN95">
        <v>-42.552999999999997</v>
      </c>
    </row>
    <row r="96" spans="1:40" x14ac:dyDescent="0.2">
      <c r="A96" t="s">
        <v>173</v>
      </c>
      <c r="B96" t="s">
        <v>174</v>
      </c>
      <c r="C96" t="s">
        <v>175</v>
      </c>
      <c r="D96" t="s">
        <v>176</v>
      </c>
      <c r="E96" t="s">
        <v>177</v>
      </c>
      <c r="F96" t="s">
        <v>178</v>
      </c>
      <c r="AN96">
        <v>137.41</v>
      </c>
    </row>
    <row r="97" spans="1:34" x14ac:dyDescent="0.2">
      <c r="A97">
        <v>20.100000000000001</v>
      </c>
      <c r="B97">
        <v>-0.52</v>
      </c>
      <c r="C97">
        <v>-0.89</v>
      </c>
      <c r="D97">
        <v>-0.88</v>
      </c>
      <c r="E97">
        <v>1.34</v>
      </c>
      <c r="F97">
        <v>1.24</v>
      </c>
      <c r="AH97">
        <v>-167.9</v>
      </c>
    </row>
    <row r="98" spans="1:34" x14ac:dyDescent="0.2">
      <c r="A98">
        <v>21.9</v>
      </c>
      <c r="B98">
        <v>-0.88</v>
      </c>
      <c r="C98">
        <v>-1.21</v>
      </c>
      <c r="D98">
        <v>-1.2</v>
      </c>
      <c r="E98">
        <v>1.23</v>
      </c>
      <c r="F98">
        <v>1.1399999999999999</v>
      </c>
      <c r="AH98">
        <v>100.08</v>
      </c>
    </row>
    <row r="99" spans="1:34" x14ac:dyDescent="0.2">
      <c r="A99">
        <v>23.8</v>
      </c>
      <c r="B99">
        <v>-1.18</v>
      </c>
      <c r="C99">
        <v>-1.48</v>
      </c>
      <c r="D99">
        <v>-1.48</v>
      </c>
      <c r="E99">
        <v>1.1399999999999999</v>
      </c>
      <c r="F99">
        <v>1.07</v>
      </c>
    </row>
    <row r="100" spans="1:34" x14ac:dyDescent="0.2">
      <c r="A100">
        <v>25.2</v>
      </c>
      <c r="B100">
        <v>-1.39</v>
      </c>
      <c r="C100">
        <v>-1.68</v>
      </c>
      <c r="D100">
        <v>-1.68</v>
      </c>
      <c r="E100">
        <v>1.07</v>
      </c>
      <c r="F100">
        <v>1.01</v>
      </c>
    </row>
    <row r="101" spans="1:34" x14ac:dyDescent="0.2">
      <c r="A101">
        <v>26.7</v>
      </c>
      <c r="B101">
        <v>-1.61</v>
      </c>
      <c r="C101">
        <v>-1.87</v>
      </c>
      <c r="D101">
        <v>-1.87</v>
      </c>
      <c r="E101">
        <v>1.01</v>
      </c>
      <c r="F101">
        <v>0.95</v>
      </c>
    </row>
    <row r="102" spans="1:34" x14ac:dyDescent="0.2">
      <c r="A102">
        <v>28.1</v>
      </c>
      <c r="B102">
        <v>-1.8</v>
      </c>
      <c r="C102">
        <v>-2.0499999999999998</v>
      </c>
      <c r="D102">
        <v>-2.04</v>
      </c>
      <c r="E102">
        <v>0.95</v>
      </c>
      <c r="F102">
        <v>0.9</v>
      </c>
    </row>
    <row r="103" spans="1:34" x14ac:dyDescent="0.2">
      <c r="A103">
        <v>29.6</v>
      </c>
      <c r="B103">
        <v>-1.99</v>
      </c>
      <c r="C103">
        <v>-2.2200000000000002</v>
      </c>
      <c r="D103">
        <v>-2.21</v>
      </c>
      <c r="E103">
        <v>0.89</v>
      </c>
      <c r="F103">
        <v>0.84</v>
      </c>
    </row>
    <row r="104" spans="1:34" x14ac:dyDescent="0.2">
      <c r="A104">
        <v>32.200000000000003</v>
      </c>
      <c r="B104">
        <v>-2.2799999999999998</v>
      </c>
      <c r="C104">
        <v>-2.4700000000000002</v>
      </c>
      <c r="D104">
        <v>-2.78</v>
      </c>
      <c r="E104">
        <v>0.8</v>
      </c>
      <c r="F104">
        <v>0.76</v>
      </c>
    </row>
    <row r="105" spans="1:34" x14ac:dyDescent="0.2">
      <c r="A105">
        <v>35.799999999999997</v>
      </c>
      <c r="B105">
        <v>-2.64</v>
      </c>
      <c r="C105">
        <v>-2.81</v>
      </c>
      <c r="D105">
        <v>-2.81</v>
      </c>
      <c r="E105">
        <v>0.7</v>
      </c>
      <c r="F105">
        <v>0.66</v>
      </c>
    </row>
    <row r="106" spans="1:34" x14ac:dyDescent="0.2">
      <c r="A106">
        <v>39.6</v>
      </c>
      <c r="B106">
        <v>-2.95</v>
      </c>
      <c r="C106">
        <v>-3.09</v>
      </c>
      <c r="D106">
        <v>-3.08</v>
      </c>
      <c r="E106">
        <v>0.6</v>
      </c>
      <c r="F106">
        <v>0.56999999999999995</v>
      </c>
    </row>
    <row r="107" spans="1:34" x14ac:dyDescent="0.2">
      <c r="A107">
        <v>42.8</v>
      </c>
      <c r="B107">
        <v>-3.18</v>
      </c>
      <c r="C107">
        <v>-3.29</v>
      </c>
      <c r="D107">
        <v>-3.3</v>
      </c>
      <c r="E107">
        <v>0.53</v>
      </c>
      <c r="F107">
        <v>0.5</v>
      </c>
    </row>
    <row r="108" spans="1:34" x14ac:dyDescent="0.2">
      <c r="A108">
        <v>46.2</v>
      </c>
      <c r="B108">
        <v>-3.41</v>
      </c>
      <c r="C108">
        <v>-3.51</v>
      </c>
      <c r="D108">
        <v>-3.5</v>
      </c>
      <c r="E108">
        <v>0.47</v>
      </c>
      <c r="F108">
        <v>0.45</v>
      </c>
    </row>
    <row r="110" spans="1:34" x14ac:dyDescent="0.2">
      <c r="A110">
        <v>-41.728999999999999</v>
      </c>
      <c r="B110">
        <v>-42.552999999999997</v>
      </c>
      <c r="D110" s="20">
        <v>1.02</v>
      </c>
      <c r="E110" t="s">
        <v>268</v>
      </c>
      <c r="F110" s="34">
        <f>(B110*D110*D110*D110)+(B111*D110*D110)+(B112*D110)+B113</f>
        <v>26.62577997599999</v>
      </c>
    </row>
    <row r="111" spans="1:34" x14ac:dyDescent="0.2">
      <c r="A111">
        <v>128.41999999999999</v>
      </c>
      <c r="B111">
        <v>137.41</v>
      </c>
      <c r="D111" s="20">
        <v>0.87</v>
      </c>
      <c r="E111" t="s">
        <v>269</v>
      </c>
      <c r="F111" s="34">
        <f>(A110*D111*D111*D111)+(A111*D111*D111)+(A112*D111)+A113</f>
        <v>28.606526313000018</v>
      </c>
    </row>
    <row r="112" spans="1:34" x14ac:dyDescent="0.2">
      <c r="A112">
        <v>-154.16999999999999</v>
      </c>
      <c r="B112">
        <v>-167.9</v>
      </c>
    </row>
    <row r="113" spans="1:2" x14ac:dyDescent="0.2">
      <c r="A113">
        <v>93.012</v>
      </c>
      <c r="B113">
        <v>100.08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7088-5860-4DA9-9800-AF76FECD6A33}">
  <dimension ref="A4:H13"/>
  <sheetViews>
    <sheetView workbookViewId="0">
      <selection activeCell="E28" sqref="E28"/>
    </sheetView>
  </sheetViews>
  <sheetFormatPr baseColWidth="10" defaultRowHeight="16" x14ac:dyDescent="0.2"/>
  <cols>
    <col min="1" max="2" width="14.83203125" customWidth="1"/>
  </cols>
  <sheetData>
    <row r="4" spans="1:8" ht="17" thickBot="1" x14ac:dyDescent="0.25"/>
    <row r="5" spans="1:8" x14ac:dyDescent="0.2">
      <c r="C5" s="35" t="s">
        <v>365</v>
      </c>
      <c r="D5" s="39"/>
      <c r="E5" s="35" t="s">
        <v>366</v>
      </c>
      <c r="F5" s="39"/>
      <c r="G5" s="35" t="s">
        <v>367</v>
      </c>
      <c r="H5" s="39"/>
    </row>
    <row r="6" spans="1:8" x14ac:dyDescent="0.2">
      <c r="A6" s="8">
        <v>45506</v>
      </c>
      <c r="B6" s="8"/>
      <c r="C6" s="36"/>
      <c r="D6" s="40"/>
      <c r="E6" s="37"/>
      <c r="F6" s="40"/>
      <c r="G6" s="37"/>
      <c r="H6" s="40"/>
    </row>
    <row r="7" spans="1:8" ht="17" thickBot="1" x14ac:dyDescent="0.25">
      <c r="A7" s="42" t="s">
        <v>368</v>
      </c>
      <c r="B7" s="42" t="s">
        <v>369</v>
      </c>
      <c r="C7" s="43" t="s">
        <v>362</v>
      </c>
      <c r="D7" s="44" t="s">
        <v>174</v>
      </c>
      <c r="E7" s="43" t="s">
        <v>363</v>
      </c>
      <c r="F7" s="44" t="s">
        <v>175</v>
      </c>
      <c r="G7" s="43" t="s">
        <v>364</v>
      </c>
      <c r="H7" s="44" t="s">
        <v>176</v>
      </c>
    </row>
    <row r="8" spans="1:8" ht="17" thickTop="1" x14ac:dyDescent="0.2">
      <c r="A8">
        <v>998</v>
      </c>
      <c r="B8">
        <v>26.7</v>
      </c>
      <c r="C8" s="37">
        <v>-4.92</v>
      </c>
      <c r="D8" s="40">
        <v>-1.62</v>
      </c>
      <c r="E8" s="37">
        <v>-5.04</v>
      </c>
      <c r="F8" s="40">
        <v>-1.87</v>
      </c>
      <c r="G8" s="37">
        <v>-5.08</v>
      </c>
      <c r="H8" s="40">
        <v>-1.85</v>
      </c>
    </row>
    <row r="9" spans="1:8" x14ac:dyDescent="0.2">
      <c r="A9">
        <v>1003.3</v>
      </c>
      <c r="B9">
        <v>27.5</v>
      </c>
      <c r="C9" s="37">
        <v>-1</v>
      </c>
      <c r="D9" s="40">
        <v>-1.71</v>
      </c>
      <c r="E9" s="37">
        <v>-1.22</v>
      </c>
      <c r="F9" s="40">
        <v>-1.96</v>
      </c>
      <c r="G9" s="37">
        <v>-1.78</v>
      </c>
      <c r="H9" s="40">
        <v>-1.95</v>
      </c>
    </row>
    <row r="10" spans="1:8" x14ac:dyDescent="0.2">
      <c r="A10">
        <v>1007.2</v>
      </c>
      <c r="B10">
        <v>27.4</v>
      </c>
      <c r="C10" s="37">
        <v>1.47</v>
      </c>
      <c r="D10" s="40">
        <v>-1.69</v>
      </c>
      <c r="E10" s="37">
        <v>1.23</v>
      </c>
      <c r="F10" s="40">
        <v>-1.95</v>
      </c>
      <c r="G10" s="37">
        <v>0.57999999999999996</v>
      </c>
      <c r="H10" s="40">
        <v>-1.95</v>
      </c>
    </row>
    <row r="11" spans="1:8" x14ac:dyDescent="0.2">
      <c r="A11">
        <v>1009.1</v>
      </c>
      <c r="B11">
        <v>26.7</v>
      </c>
      <c r="C11" s="37">
        <v>2.36</v>
      </c>
      <c r="D11" s="40">
        <v>-1.6</v>
      </c>
      <c r="E11" s="37">
        <v>2.0499999999999998</v>
      </c>
      <c r="F11" s="40">
        <v>-1.86</v>
      </c>
      <c r="G11" s="37">
        <v>1.38</v>
      </c>
      <c r="H11" s="40">
        <v>-1.84</v>
      </c>
    </row>
    <row r="12" spans="1:8" x14ac:dyDescent="0.2">
      <c r="C12" s="37"/>
      <c r="D12" s="40"/>
      <c r="E12" s="37"/>
      <c r="F12" s="40"/>
      <c r="G12" s="37"/>
      <c r="H12" s="40"/>
    </row>
    <row r="13" spans="1:8" ht="17" thickBot="1" x14ac:dyDescent="0.25">
      <c r="C13" s="38"/>
      <c r="D13" s="41"/>
      <c r="E13" s="38"/>
      <c r="F13" s="41"/>
      <c r="G13" s="38"/>
      <c r="H13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zoomScaleNormal="100" workbookViewId="0">
      <selection activeCell="D18" sqref="D18"/>
    </sheetView>
  </sheetViews>
  <sheetFormatPr baseColWidth="10" defaultColWidth="10.6640625" defaultRowHeight="16" x14ac:dyDescent="0.2"/>
  <cols>
    <col min="2" max="2" width="14.6640625" customWidth="1"/>
  </cols>
  <sheetData>
    <row r="1" spans="1:3" x14ac:dyDescent="0.2">
      <c r="A1" t="s">
        <v>179</v>
      </c>
      <c r="B1" t="s">
        <v>173</v>
      </c>
      <c r="C1" t="s">
        <v>180</v>
      </c>
    </row>
    <row r="2" spans="1:3" x14ac:dyDescent="0.2">
      <c r="A2">
        <v>2.5</v>
      </c>
      <c r="B2">
        <v>34.799999999999997</v>
      </c>
    </row>
    <row r="3" spans="1:3" x14ac:dyDescent="0.2">
      <c r="A3">
        <v>7.2</v>
      </c>
      <c r="B3">
        <v>33.6</v>
      </c>
      <c r="C3" s="19">
        <v>8.6</v>
      </c>
    </row>
    <row r="4" spans="1:3" x14ac:dyDescent="0.2">
      <c r="A4">
        <v>11.5</v>
      </c>
      <c r="B4">
        <v>32.200000000000003</v>
      </c>
      <c r="C4" s="19">
        <v>11.7</v>
      </c>
    </row>
    <row r="5" spans="1:3" x14ac:dyDescent="0.2">
      <c r="A5">
        <v>15.9</v>
      </c>
      <c r="B5">
        <v>30.6</v>
      </c>
      <c r="C5" s="19">
        <v>14.9</v>
      </c>
    </row>
    <row r="6" spans="1:3" x14ac:dyDescent="0.2">
      <c r="A6">
        <v>29.8</v>
      </c>
      <c r="B6">
        <v>25.5</v>
      </c>
      <c r="C6" s="19">
        <v>25.2</v>
      </c>
    </row>
    <row r="7" spans="1:3" x14ac:dyDescent="0.2">
      <c r="A7">
        <v>42.9</v>
      </c>
      <c r="B7">
        <v>20.8</v>
      </c>
      <c r="C7" s="19">
        <v>35</v>
      </c>
    </row>
    <row r="8" spans="1:3" x14ac:dyDescent="0.2">
      <c r="A8">
        <v>46.8</v>
      </c>
      <c r="B8">
        <v>19.399999999999999</v>
      </c>
      <c r="C8" s="19">
        <v>37.799999999999997</v>
      </c>
    </row>
    <row r="9" spans="1:3" x14ac:dyDescent="0.2">
      <c r="A9">
        <v>51</v>
      </c>
      <c r="B9">
        <v>17.899999999999999</v>
      </c>
      <c r="C9" s="19">
        <v>40.9</v>
      </c>
    </row>
    <row r="10" spans="1:3" x14ac:dyDescent="0.2">
      <c r="A10">
        <v>51.2</v>
      </c>
      <c r="C10" s="19"/>
    </row>
    <row r="11" spans="1:3" x14ac:dyDescent="0.2">
      <c r="C11" s="19"/>
    </row>
    <row r="12" spans="1:3" x14ac:dyDescent="0.2">
      <c r="C12" s="19"/>
    </row>
    <row r="13" spans="1:3" x14ac:dyDescent="0.2">
      <c r="C13" s="19"/>
    </row>
    <row r="14" spans="1:3" x14ac:dyDescent="0.2">
      <c r="C14" s="1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Normal="100" workbookViewId="0">
      <selection activeCell="D12" sqref="D12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2.5</v>
      </c>
      <c r="B2">
        <v>43.4</v>
      </c>
      <c r="C2">
        <v>5.8</v>
      </c>
    </row>
    <row r="3" spans="1:5" x14ac:dyDescent="0.2">
      <c r="A3">
        <v>9.4</v>
      </c>
      <c r="B3">
        <v>40.200000000000003</v>
      </c>
      <c r="C3" s="19">
        <v>11</v>
      </c>
      <c r="E3" s="19"/>
    </row>
    <row r="4" spans="1:5" x14ac:dyDescent="0.2">
      <c r="A4">
        <v>26.4</v>
      </c>
      <c r="B4">
        <v>30.8</v>
      </c>
      <c r="C4" s="19">
        <v>24</v>
      </c>
    </row>
    <row r="5" spans="1:5" x14ac:dyDescent="0.2">
      <c r="A5">
        <v>41.2</v>
      </c>
      <c r="B5" s="19">
        <v>23.2</v>
      </c>
      <c r="C5">
        <v>35.299999999999997</v>
      </c>
    </row>
    <row r="6" spans="1:5" x14ac:dyDescent="0.2">
      <c r="A6">
        <v>48.1</v>
      </c>
      <c r="B6">
        <v>19</v>
      </c>
      <c r="C6" s="19">
        <v>40.799999999999997</v>
      </c>
    </row>
    <row r="7" spans="1:5" x14ac:dyDescent="0.2">
      <c r="A7">
        <v>49.9</v>
      </c>
      <c r="B7">
        <v>18.600000000000001</v>
      </c>
      <c r="C7" s="19">
        <v>41.8</v>
      </c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1:4" x14ac:dyDescent="0.2">
      <c r="A19">
        <v>50</v>
      </c>
      <c r="C19" s="20">
        <f>((C3-C2)/(A3-A2))*A19</f>
        <v>37.681159420289859</v>
      </c>
      <c r="D19" t="s">
        <v>181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Normal="100" workbookViewId="0">
      <selection activeCell="F51" sqref="F51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2.4</v>
      </c>
      <c r="B2">
        <v>44.9</v>
      </c>
      <c r="C2">
        <v>5.2</v>
      </c>
    </row>
    <row r="3" spans="1:5" x14ac:dyDescent="0.2">
      <c r="A3">
        <v>7.3</v>
      </c>
      <c r="B3">
        <v>42.9</v>
      </c>
      <c r="C3" s="19">
        <v>8.9</v>
      </c>
      <c r="E3" s="19"/>
    </row>
    <row r="4" spans="1:5" x14ac:dyDescent="0.2">
      <c r="A4">
        <v>15.7</v>
      </c>
      <c r="B4">
        <v>38.299999999999997</v>
      </c>
      <c r="C4" s="19">
        <v>15.3</v>
      </c>
    </row>
    <row r="5" spans="1:5" x14ac:dyDescent="0.2">
      <c r="A5">
        <v>19.2</v>
      </c>
      <c r="B5" s="19">
        <v>36.6</v>
      </c>
      <c r="C5">
        <v>17.899999999999999</v>
      </c>
    </row>
    <row r="6" spans="1:5" x14ac:dyDescent="0.2">
      <c r="A6">
        <v>35.799999999999997</v>
      </c>
      <c r="B6">
        <v>26.9</v>
      </c>
      <c r="C6" s="19">
        <v>30.7</v>
      </c>
    </row>
    <row r="7" spans="1:5" x14ac:dyDescent="0.2">
      <c r="A7">
        <v>45.5</v>
      </c>
      <c r="B7">
        <v>21.6</v>
      </c>
      <c r="C7" s="19">
        <v>38.1</v>
      </c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3:3" x14ac:dyDescent="0.2">
      <c r="C19" s="20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Normal="100" workbookViewId="0">
      <selection activeCell="B21" sqref="B21"/>
    </sheetView>
  </sheetViews>
  <sheetFormatPr baseColWidth="10" defaultColWidth="10.6640625" defaultRowHeight="16" x14ac:dyDescent="0.2"/>
  <cols>
    <col min="2" max="2" width="14.6640625" customWidth="1"/>
    <col min="3" max="3" width="11.33203125" customWidth="1"/>
  </cols>
  <sheetData>
    <row r="1" spans="1:5" x14ac:dyDescent="0.2">
      <c r="A1" t="s">
        <v>179</v>
      </c>
      <c r="B1" t="s">
        <v>173</v>
      </c>
      <c r="C1" t="s">
        <v>180</v>
      </c>
    </row>
    <row r="2" spans="1:5" x14ac:dyDescent="0.2">
      <c r="A2">
        <v>1.9</v>
      </c>
      <c r="B2">
        <v>43.1</v>
      </c>
      <c r="C2">
        <v>4.8</v>
      </c>
    </row>
    <row r="3" spans="1:5" x14ac:dyDescent="0.2">
      <c r="A3">
        <v>10.8</v>
      </c>
      <c r="B3">
        <v>39.4</v>
      </c>
      <c r="C3" s="19">
        <v>11.5</v>
      </c>
      <c r="E3" s="19"/>
    </row>
    <row r="4" spans="1:5" x14ac:dyDescent="0.2">
      <c r="A4">
        <v>31.4</v>
      </c>
      <c r="B4">
        <v>28.9</v>
      </c>
      <c r="C4" s="19">
        <v>27.1</v>
      </c>
    </row>
    <row r="5" spans="1:5" x14ac:dyDescent="0.2">
      <c r="A5">
        <v>42.8</v>
      </c>
      <c r="B5" s="19">
        <v>22.6</v>
      </c>
      <c r="C5">
        <v>36.1</v>
      </c>
    </row>
    <row r="6" spans="1:5" x14ac:dyDescent="0.2">
      <c r="A6">
        <v>48</v>
      </c>
      <c r="B6">
        <v>19.899999999999999</v>
      </c>
      <c r="C6" s="19">
        <v>40.200000000000003</v>
      </c>
    </row>
    <row r="7" spans="1:5" x14ac:dyDescent="0.2">
      <c r="C7" s="19"/>
    </row>
    <row r="8" spans="1:5" x14ac:dyDescent="0.2">
      <c r="C8" s="19"/>
    </row>
    <row r="9" spans="1:5" x14ac:dyDescent="0.2">
      <c r="C9" s="19"/>
    </row>
    <row r="10" spans="1:5" x14ac:dyDescent="0.2">
      <c r="C10" s="19"/>
    </row>
    <row r="11" spans="1:5" x14ac:dyDescent="0.2">
      <c r="C11" s="19"/>
    </row>
    <row r="12" spans="1:5" x14ac:dyDescent="0.2">
      <c r="C12" s="19"/>
    </row>
    <row r="13" spans="1:5" x14ac:dyDescent="0.2">
      <c r="C13" s="19"/>
    </row>
    <row r="14" spans="1:5" x14ac:dyDescent="0.2">
      <c r="C14" s="19"/>
    </row>
    <row r="19" spans="3:3" x14ac:dyDescent="0.2">
      <c r="C19" s="20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experience</vt:lpstr>
      <vt:lpstr>Planning RB</vt:lpstr>
      <vt:lpstr>Planning KP</vt:lpstr>
      <vt:lpstr>Calib_temp</vt:lpstr>
      <vt:lpstr>Calib_Sel</vt:lpstr>
      <vt:lpstr>STRAT n°1</vt:lpstr>
      <vt:lpstr>STRAT n°2</vt:lpstr>
      <vt:lpstr>STRAT n°3</vt:lpstr>
      <vt:lpstr>STRAT n°4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 Coppin</dc:creator>
  <dc:description/>
  <cp:lastModifiedBy>Max Coppin</cp:lastModifiedBy>
  <cp:revision>3</cp:revision>
  <dcterms:created xsi:type="dcterms:W3CDTF">2024-03-11T07:34:48Z</dcterms:created>
  <dcterms:modified xsi:type="dcterms:W3CDTF">2024-08-27T12:12:00Z</dcterms:modified>
  <dc:language>fr-FR</dc:language>
</cp:coreProperties>
</file>