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6\elec\lb_2 — копия\"/>
    </mc:Choice>
  </mc:AlternateContent>
  <xr:revisionPtr revIDLastSave="0" documentId="13_ncr:1_{D65D31C9-6CBA-47CD-9DFD-1A136A4213B6}" xr6:coauthVersionLast="47" xr6:coauthVersionMax="47" xr10:uidLastSave="{00000000-0000-0000-0000-000000000000}"/>
  <bookViews>
    <workbookView xWindow="0" yWindow="0" windowWidth="23040" windowHeight="12360" xr2:uid="{657005DA-CBE8-4B2D-8527-1A04DFC8DBF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1" l="1"/>
  <c r="S29" i="1"/>
  <c r="S28" i="1"/>
  <c r="L32" i="1"/>
  <c r="L31" i="1"/>
  <c r="L30" i="1"/>
  <c r="E32" i="1"/>
  <c r="E31" i="1"/>
  <c r="E30" i="1"/>
  <c r="V8" i="1"/>
  <c r="V7" i="1"/>
  <c r="V5" i="1"/>
  <c r="V6" i="1"/>
  <c r="U8" i="1"/>
  <c r="U7" i="1"/>
  <c r="U6" i="1"/>
  <c r="U5" i="1"/>
  <c r="T8" i="1"/>
  <c r="T7" i="1"/>
  <c r="T6" i="1"/>
  <c r="T5" i="1"/>
  <c r="S8" i="1"/>
  <c r="S7" i="1"/>
  <c r="S6" i="1"/>
  <c r="S5" i="1"/>
  <c r="O8" i="1"/>
  <c r="O7" i="1"/>
  <c r="N8" i="1"/>
  <c r="N7" i="1"/>
  <c r="M8" i="1"/>
  <c r="M7" i="1"/>
  <c r="M6" i="1"/>
  <c r="N6" i="1"/>
  <c r="O6" i="1"/>
  <c r="M5" i="1"/>
  <c r="N5" i="1"/>
  <c r="O5" i="1"/>
  <c r="L8" i="1"/>
  <c r="L7" i="1"/>
  <c r="L6" i="1"/>
  <c r="L5" i="1"/>
  <c r="H17" i="1"/>
  <c r="H8" i="1" l="1"/>
  <c r="H7" i="1"/>
  <c r="H6" i="1"/>
  <c r="H5" i="1"/>
  <c r="G8" i="1"/>
  <c r="G7" i="1"/>
  <c r="E6" i="1"/>
  <c r="G6" i="1"/>
  <c r="G5" i="1"/>
  <c r="F8" i="1"/>
  <c r="F7" i="1"/>
  <c r="F6" i="1"/>
  <c r="F5" i="1"/>
  <c r="E8" i="1"/>
  <c r="E7" i="1"/>
  <c r="E5" i="1"/>
  <c r="V42" i="1"/>
  <c r="S42" i="1"/>
  <c r="T39" i="1"/>
  <c r="U39" i="1"/>
  <c r="U42" i="1" s="1"/>
  <c r="V39" i="1"/>
  <c r="S39" i="1"/>
  <c r="E35" i="1"/>
  <c r="D57" i="1" s="1"/>
  <c r="L35" i="1"/>
  <c r="K57" i="1" s="1"/>
  <c r="L39" i="1"/>
  <c r="R60" i="1"/>
  <c r="R59" i="1"/>
  <c r="R55" i="1"/>
  <c r="S34" i="1"/>
  <c r="R57" i="1" s="1"/>
  <c r="S36" i="1"/>
  <c r="S37" i="1" s="1"/>
  <c r="T42" i="1" s="1"/>
  <c r="K60" i="1"/>
  <c r="K59" i="1"/>
  <c r="K55" i="1"/>
  <c r="D60" i="1"/>
  <c r="D59" i="1"/>
  <c r="D55" i="1"/>
  <c r="L36" i="1"/>
  <c r="E36" i="1"/>
  <c r="E37" i="1" s="1"/>
  <c r="L19" i="1"/>
  <c r="R58" i="1" l="1"/>
  <c r="S41" i="1"/>
  <c r="V41" i="1"/>
  <c r="U41" i="1"/>
  <c r="T41" i="1"/>
  <c r="F12" i="1"/>
  <c r="N11" i="1"/>
  <c r="S38" i="1"/>
  <c r="G12" i="1"/>
  <c r="L10" i="1"/>
  <c r="L37" i="1"/>
  <c r="O41" i="1" s="1"/>
  <c r="S33" i="1"/>
  <c r="V38" i="1" s="1"/>
  <c r="E38" i="1"/>
  <c r="G11" i="1"/>
  <c r="H10" i="1"/>
  <c r="S35" i="1"/>
  <c r="F10" i="1"/>
  <c r="E11" i="1"/>
  <c r="R54" i="1"/>
  <c r="R53" i="1" s="1"/>
  <c r="G42" i="1"/>
  <c r="F42" i="1"/>
  <c r="H12" i="1"/>
  <c r="H11" i="1"/>
  <c r="E12" i="1"/>
  <c r="G10" i="1"/>
  <c r="D58" i="1"/>
  <c r="D54" i="1" s="1"/>
  <c r="D53" i="1" s="1"/>
  <c r="F11" i="1"/>
  <c r="S19" i="1"/>
  <c r="E10" i="1"/>
  <c r="M12" i="1"/>
  <c r="E41" i="1"/>
  <c r="G41" i="1"/>
  <c r="F41" i="1"/>
  <c r="H41" i="1"/>
  <c r="E42" i="1"/>
  <c r="H42" i="1"/>
  <c r="V11" i="1"/>
  <c r="V10" i="1"/>
  <c r="V12" i="1"/>
  <c r="U11" i="1"/>
  <c r="U10" i="1"/>
  <c r="U12" i="1"/>
  <c r="T12" i="1"/>
  <c r="T10" i="1"/>
  <c r="T11" i="1"/>
  <c r="S10" i="1"/>
  <c r="S11" i="1"/>
  <c r="S12" i="1"/>
  <c r="E19" i="1"/>
  <c r="O11" i="1"/>
  <c r="M11" i="1"/>
  <c r="L11" i="1"/>
  <c r="O10" i="1"/>
  <c r="N10" i="1"/>
  <c r="M10" i="1"/>
  <c r="N12" i="1"/>
  <c r="N13" i="1" s="1"/>
  <c r="O12" i="1"/>
  <c r="L12" i="1"/>
  <c r="F13" i="1" l="1"/>
  <c r="M41" i="1"/>
  <c r="M49" i="1" s="1"/>
  <c r="N41" i="1"/>
  <c r="N49" i="1" s="1"/>
  <c r="L42" i="1"/>
  <c r="L46" i="1" s="1"/>
  <c r="G13" i="1"/>
  <c r="N42" i="1"/>
  <c r="N46" i="1" s="1"/>
  <c r="L13" i="1"/>
  <c r="M13" i="1"/>
  <c r="L38" i="1"/>
  <c r="M42" i="1"/>
  <c r="M50" i="1" s="1"/>
  <c r="O42" i="1"/>
  <c r="O46" i="1" s="1"/>
  <c r="U46" i="1"/>
  <c r="K58" i="1"/>
  <c r="K54" i="1" s="1"/>
  <c r="K53" i="1" s="1"/>
  <c r="L41" i="1"/>
  <c r="L43" i="1" s="1"/>
  <c r="H43" i="1"/>
  <c r="G50" i="1"/>
  <c r="O13" i="1"/>
  <c r="U13" i="1"/>
  <c r="F46" i="1"/>
  <c r="E13" i="1"/>
  <c r="H13" i="1"/>
  <c r="U43" i="1"/>
  <c r="U50" i="1"/>
  <c r="O43" i="1"/>
  <c r="O51" i="1" s="1"/>
  <c r="T43" i="1"/>
  <c r="V46" i="1"/>
  <c r="V50" i="1"/>
  <c r="S50" i="1"/>
  <c r="S46" i="1"/>
  <c r="S49" i="1"/>
  <c r="S45" i="1"/>
  <c r="V49" i="1"/>
  <c r="V45" i="1"/>
  <c r="V43" i="1"/>
  <c r="T49" i="1"/>
  <c r="T45" i="1"/>
  <c r="T46" i="1"/>
  <c r="T50" i="1"/>
  <c r="F43" i="1"/>
  <c r="S43" i="1"/>
  <c r="U49" i="1"/>
  <c r="U45" i="1"/>
  <c r="F50" i="1"/>
  <c r="M45" i="1"/>
  <c r="G43" i="1"/>
  <c r="G51" i="1" s="1"/>
  <c r="H49" i="1"/>
  <c r="H45" i="1"/>
  <c r="H46" i="1"/>
  <c r="H50" i="1"/>
  <c r="E46" i="1"/>
  <c r="E50" i="1"/>
  <c r="F45" i="1"/>
  <c r="F49" i="1"/>
  <c r="G49" i="1"/>
  <c r="G45" i="1"/>
  <c r="E49" i="1"/>
  <c r="E45" i="1"/>
  <c r="E43" i="1"/>
  <c r="G46" i="1"/>
  <c r="V13" i="1"/>
  <c r="T13" i="1"/>
  <c r="S13" i="1"/>
  <c r="L50" i="1" l="1"/>
  <c r="M46" i="1"/>
  <c r="N50" i="1"/>
  <c r="F51" i="1"/>
  <c r="L47" i="1"/>
  <c r="M43" i="1"/>
  <c r="M51" i="1" s="1"/>
  <c r="O50" i="1"/>
  <c r="H47" i="1"/>
  <c r="U51" i="1"/>
  <c r="L49" i="1"/>
  <c r="U47" i="1"/>
  <c r="H51" i="1"/>
  <c r="O47" i="1"/>
  <c r="F47" i="1"/>
  <c r="L45" i="1"/>
  <c r="N45" i="1"/>
  <c r="N43" i="1"/>
  <c r="N47" i="1" s="1"/>
  <c r="S47" i="1"/>
  <c r="T47" i="1"/>
  <c r="O45" i="1"/>
  <c r="O49" i="1"/>
  <c r="V47" i="1"/>
  <c r="V51" i="1"/>
  <c r="T51" i="1"/>
  <c r="S51" i="1"/>
  <c r="G47" i="1"/>
  <c r="M47" i="1"/>
  <c r="L51" i="1"/>
  <c r="E47" i="1"/>
  <c r="E51" i="1"/>
  <c r="N51" i="1" l="1"/>
</calcChain>
</file>

<file path=xl/sharedStrings.xml><?xml version="1.0" encoding="utf-8"?>
<sst xmlns="http://schemas.openxmlformats.org/spreadsheetml/2006/main" count="161" uniqueCount="57">
  <si>
    <t>1к</t>
  </si>
  <si>
    <t>100к</t>
  </si>
  <si>
    <t>om</t>
  </si>
  <si>
    <t xml:space="preserve">r вх </t>
  </si>
  <si>
    <t>k i</t>
  </si>
  <si>
    <t>k u</t>
  </si>
  <si>
    <t>k p</t>
  </si>
  <si>
    <t>холостой ход</t>
  </si>
  <si>
    <t>кз</t>
  </si>
  <si>
    <t>r = 5T</t>
  </si>
  <si>
    <t>r = 0.0000001</t>
  </si>
  <si>
    <t>u</t>
  </si>
  <si>
    <t>i</t>
  </si>
  <si>
    <t>r вых</t>
  </si>
  <si>
    <t>общая база</t>
  </si>
  <si>
    <t>общий коллектор</t>
  </si>
  <si>
    <t>аналитический расчет</t>
  </si>
  <si>
    <t>общий эмиттер</t>
  </si>
  <si>
    <t>r б</t>
  </si>
  <si>
    <t>r 1</t>
  </si>
  <si>
    <t>r 2</t>
  </si>
  <si>
    <t>r э</t>
  </si>
  <si>
    <t>r к</t>
  </si>
  <si>
    <t>r вх тр оэ</t>
  </si>
  <si>
    <t>r вх</t>
  </si>
  <si>
    <t>B</t>
  </si>
  <si>
    <t>I б</t>
  </si>
  <si>
    <t>I к</t>
  </si>
  <si>
    <t>I э</t>
  </si>
  <si>
    <t>r эм</t>
  </si>
  <si>
    <t>r н</t>
  </si>
  <si>
    <t>Δ k i</t>
  </si>
  <si>
    <t>Δ k u</t>
  </si>
  <si>
    <t>Δ k p</t>
  </si>
  <si>
    <t>Ϭki  %</t>
  </si>
  <si>
    <t>Ϭu  %</t>
  </si>
  <si>
    <t>Ϭkp  %</t>
  </si>
  <si>
    <t>`</t>
  </si>
  <si>
    <t>fв</t>
  </si>
  <si>
    <t>τв</t>
  </si>
  <si>
    <t>G</t>
  </si>
  <si>
    <t>Скэ</t>
  </si>
  <si>
    <t>R'r</t>
  </si>
  <si>
    <t>Rr</t>
  </si>
  <si>
    <t>r кн</t>
  </si>
  <si>
    <t>f kHg</t>
  </si>
  <si>
    <t>f MHg</t>
  </si>
  <si>
    <t xml:space="preserve">a </t>
  </si>
  <si>
    <t>r  эн</t>
  </si>
  <si>
    <t>r r</t>
  </si>
  <si>
    <t>R 'r</t>
  </si>
  <si>
    <t>U вх</t>
  </si>
  <si>
    <t>I вх</t>
  </si>
  <si>
    <t>I вых</t>
  </si>
  <si>
    <t>U вых</t>
  </si>
  <si>
    <t xml:space="preserve">R вх </t>
  </si>
  <si>
    <t>4к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</si>
</sst>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2" fillId="0" borderId="0" xfId="0" applyFont="1" applyBorder="1" applyAlignment="1">
      <alignment vertical="center"/>
    </xf>
    <xf numFmtId="0" fontId="0" fillId="0" borderId="0" xfId="0"/>
    <xf numFmtId="0" fontId="0" fillId="0" borderId="0" xfId="0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4" fillId="0" borderId="0" xfId="0" applyFont="1" applyBorder="1"/>
    <xf numFmtId="0" fontId="0" fillId="0" borderId="0" xfId="0" applyBorder="1"/>
    <xf numFmtId="0" fontId="3" fillId="0" borderId="0" xfId="0" applyFont="1" applyBorder="1" applyAlignment="1"/>
    <xf numFmtId="0" fontId="4" fillId="0" borderId="0" xfId="0" applyFont="1" applyBorder="1" applyAlignment="1"/>
    <xf numFmtId="0" fontId="1" fillId="0" borderId="0" xfId="0" applyFont="1"/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4E4D-577B-44C9-8C08-1264F2016281}">
  <dimension ref="C2:AB62"/>
  <sheetViews>
    <sheetView tabSelected="1" topLeftCell="G46" workbookViewId="0">
      <selection activeCell="Q70" sqref="Q70"/>
    </sheetView>
  </sheetViews>
  <sheetFormatPr defaultRowHeight="14.4" x14ac:dyDescent="0.3"/>
  <cols>
    <col min="4" max="4" width="17.6640625" customWidth="1"/>
    <col min="5" max="8" width="10" bestFit="1" customWidth="1"/>
    <col min="11" max="11" width="18.33203125" bestFit="1" customWidth="1"/>
    <col min="12" max="14" width="11" bestFit="1" customWidth="1"/>
    <col min="15" max="15" width="10.88671875" customWidth="1"/>
    <col min="18" max="18" width="18.33203125" bestFit="1" customWidth="1"/>
    <col min="19" max="21" width="10" bestFit="1" customWidth="1"/>
    <col min="22" max="22" width="12" bestFit="1" customWidth="1"/>
  </cols>
  <sheetData>
    <row r="2" spans="3:22" x14ac:dyDescent="0.3">
      <c r="C2" s="21" t="s">
        <v>17</v>
      </c>
      <c r="D2" s="21"/>
      <c r="E2" s="21"/>
      <c r="F2" s="21"/>
      <c r="G2" s="21"/>
      <c r="H2" s="21"/>
      <c r="J2" s="21" t="s">
        <v>14</v>
      </c>
      <c r="K2" s="21"/>
      <c r="L2" s="21"/>
      <c r="M2" s="21"/>
      <c r="N2" s="21"/>
      <c r="O2" s="21"/>
      <c r="Q2" s="21" t="s">
        <v>15</v>
      </c>
      <c r="R2" s="21"/>
      <c r="S2" s="21"/>
      <c r="T2" s="21"/>
      <c r="U2" s="21"/>
      <c r="V2" s="21"/>
    </row>
    <row r="4" spans="3:22" x14ac:dyDescent="0.3">
      <c r="D4" t="s">
        <v>2</v>
      </c>
      <c r="E4">
        <v>100</v>
      </c>
      <c r="F4" t="s">
        <v>0</v>
      </c>
      <c r="G4" t="s">
        <v>56</v>
      </c>
      <c r="H4" t="s">
        <v>1</v>
      </c>
      <c r="K4" t="s">
        <v>2</v>
      </c>
      <c r="L4">
        <v>100</v>
      </c>
      <c r="M4" t="s">
        <v>0</v>
      </c>
      <c r="N4" t="s">
        <v>56</v>
      </c>
      <c r="O4" t="s">
        <v>1</v>
      </c>
      <c r="R4" t="s">
        <v>2</v>
      </c>
      <c r="S4">
        <v>100</v>
      </c>
      <c r="T4" t="s">
        <v>0</v>
      </c>
      <c r="U4" t="s">
        <v>56</v>
      </c>
      <c r="V4" t="s">
        <v>1</v>
      </c>
    </row>
    <row r="5" spans="3:22" x14ac:dyDescent="0.3">
      <c r="C5">
        <v>1</v>
      </c>
      <c r="D5" s="19" t="s">
        <v>51</v>
      </c>
      <c r="E5">
        <f>10.9*10^(-3)</f>
        <v>1.09E-2</v>
      </c>
      <c r="F5">
        <f>10.9*10^(-3)</f>
        <v>1.09E-2</v>
      </c>
      <c r="G5">
        <f>10.9*10^(-3)</f>
        <v>1.09E-2</v>
      </c>
      <c r="H5" s="19">
        <f>10.9*10^(-3)</f>
        <v>1.09E-2</v>
      </c>
      <c r="J5">
        <v>1</v>
      </c>
      <c r="K5" t="s">
        <v>51</v>
      </c>
      <c r="L5">
        <f>522*10^(-3)</f>
        <v>0.52200000000000002</v>
      </c>
      <c r="M5" s="19">
        <f t="shared" ref="M5:O5" si="0">522*10^(-3)</f>
        <v>0.52200000000000002</v>
      </c>
      <c r="N5" s="19">
        <f t="shared" si="0"/>
        <v>0.52200000000000002</v>
      </c>
      <c r="O5" s="19">
        <f t="shared" si="0"/>
        <v>0.52200000000000002</v>
      </c>
      <c r="Q5">
        <v>1</v>
      </c>
      <c r="R5" s="19" t="s">
        <v>51</v>
      </c>
      <c r="S5">
        <f>16.4*10^(-3)</f>
        <v>1.6399999999999998E-2</v>
      </c>
      <c r="T5">
        <f>18*10^(-3)</f>
        <v>1.8000000000000002E-2</v>
      </c>
      <c r="U5">
        <f>18.2*10^(-3)</f>
        <v>1.8200000000000001E-2</v>
      </c>
      <c r="V5">
        <f>18.3*10^(-3)</f>
        <v>1.83E-2</v>
      </c>
    </row>
    <row r="6" spans="3:22" x14ac:dyDescent="0.3">
      <c r="C6">
        <v>2</v>
      </c>
      <c r="D6" s="19" t="s">
        <v>52</v>
      </c>
      <c r="E6">
        <f>8.02*10^(-6)</f>
        <v>8.0199999999999994E-6</v>
      </c>
      <c r="F6">
        <f>8.02*10^(-6)</f>
        <v>8.0199999999999994E-6</v>
      </c>
      <c r="G6">
        <f>8.02*10^(-6)</f>
        <v>8.0199999999999994E-6</v>
      </c>
      <c r="H6" s="19">
        <f>8.02*10^(-6)</f>
        <v>8.0199999999999994E-6</v>
      </c>
      <c r="J6">
        <v>2</v>
      </c>
      <c r="K6" t="s">
        <v>52</v>
      </c>
      <c r="L6">
        <f>11.5*10^(-6)</f>
        <v>1.15E-5</v>
      </c>
      <c r="M6" s="19">
        <f t="shared" ref="M6:O6" si="1">11.5*10^(-6)</f>
        <v>1.15E-5</v>
      </c>
      <c r="N6" s="19">
        <f t="shared" si="1"/>
        <v>1.15E-5</v>
      </c>
      <c r="O6" s="19">
        <f t="shared" si="1"/>
        <v>1.15E-5</v>
      </c>
      <c r="Q6">
        <v>2</v>
      </c>
      <c r="R6" s="19" t="s">
        <v>52</v>
      </c>
      <c r="S6">
        <f>6.1*10^(-6)</f>
        <v>6.0999999999999992E-6</v>
      </c>
      <c r="T6">
        <f>5.6*10^(-6)</f>
        <v>5.5999999999999997E-6</v>
      </c>
      <c r="U6">
        <f>5.5*10^(-6)</f>
        <v>5.4999999999999999E-6</v>
      </c>
      <c r="V6">
        <f>5.5*10^(-6)</f>
        <v>5.4999999999999999E-6</v>
      </c>
    </row>
    <row r="7" spans="3:22" x14ac:dyDescent="0.3">
      <c r="C7">
        <v>3</v>
      </c>
      <c r="D7" s="19" t="s">
        <v>53</v>
      </c>
      <c r="E7">
        <f>459*10^(-6)</f>
        <v>4.5899999999999999E-4</v>
      </c>
      <c r="F7">
        <f>356*10^(-6)</f>
        <v>3.5599999999999998E-4</v>
      </c>
      <c r="G7">
        <f>203.6*10^(-6)</f>
        <v>2.0359999999999999E-4</v>
      </c>
      <c r="H7">
        <f>13.8*10^(-9)</f>
        <v>1.3800000000000001E-8</v>
      </c>
      <c r="J7">
        <v>3</v>
      </c>
      <c r="K7" t="s">
        <v>53</v>
      </c>
      <c r="L7">
        <f>11*10^(-6)</f>
        <v>1.1E-5</v>
      </c>
      <c r="M7">
        <f>8.5*10^(-6)</f>
        <v>8.4999999999999999E-6</v>
      </c>
      <c r="N7">
        <f>4.8*10^(-6)</f>
        <v>4.7999999999999998E-6</v>
      </c>
      <c r="O7">
        <f>330.9*10^(-9)</f>
        <v>3.3089999999999998E-7</v>
      </c>
      <c r="Q7">
        <v>3</v>
      </c>
      <c r="R7" s="19" t="s">
        <v>53</v>
      </c>
      <c r="S7">
        <f>127.7*10^(-6)</f>
        <v>1.2769999999999999E-4</v>
      </c>
      <c r="T7">
        <f>17.5*10^(-6)</f>
        <v>1.7499999999999998E-5</v>
      </c>
      <c r="U7">
        <f>4.5*10^(-6)</f>
        <v>4.5000000000000001E-6</v>
      </c>
      <c r="V7">
        <f>181*10^(-9)</f>
        <v>1.8100000000000002E-7</v>
      </c>
    </row>
    <row r="8" spans="3:22" x14ac:dyDescent="0.3">
      <c r="C8">
        <v>4</v>
      </c>
      <c r="D8" s="19" t="s">
        <v>54</v>
      </c>
      <c r="E8">
        <f>459*10^(-3)</f>
        <v>0.45900000000000002</v>
      </c>
      <c r="F8">
        <f>356*10^(-3)</f>
        <v>0.35599999999999998</v>
      </c>
      <c r="G8">
        <f>814.5*10^(-3)</f>
        <v>0.8145</v>
      </c>
      <c r="H8">
        <f>1.38</f>
        <v>1.38</v>
      </c>
      <c r="J8">
        <v>4</v>
      </c>
      <c r="K8" t="s">
        <v>54</v>
      </c>
      <c r="L8">
        <f>1.102*10^(-3)</f>
        <v>1.1020000000000001E-3</v>
      </c>
      <c r="M8">
        <f>8.5*10^(-3)</f>
        <v>8.5000000000000006E-3</v>
      </c>
      <c r="N8">
        <f>19.5*10^(-3)</f>
        <v>1.95E-2</v>
      </c>
      <c r="O8" s="19">
        <f>33.1*10^(-3)</f>
        <v>3.3100000000000004E-2</v>
      </c>
      <c r="Q8">
        <v>4</v>
      </c>
      <c r="R8" s="19" t="s">
        <v>54</v>
      </c>
      <c r="S8">
        <f>12.7*10^(-3)</f>
        <v>1.2699999999999999E-2</v>
      </c>
      <c r="T8">
        <f>17.5*10^(-3)</f>
        <v>1.7500000000000002E-2</v>
      </c>
      <c r="U8">
        <f>18*10^(-3)</f>
        <v>1.8000000000000002E-2</v>
      </c>
      <c r="V8">
        <f>18.1*10^(-3)</f>
        <v>1.8100000000000002E-2</v>
      </c>
    </row>
    <row r="10" spans="3:22" x14ac:dyDescent="0.3">
      <c r="D10" s="19" t="s">
        <v>55</v>
      </c>
      <c r="E10" s="20">
        <f>E5/E6</f>
        <v>1359.1022443890274</v>
      </c>
      <c r="F10" s="20">
        <f>F5/F6</f>
        <v>1359.1022443890274</v>
      </c>
      <c r="G10" s="20">
        <f t="shared" ref="G10:H10" si="2">G5/G6</f>
        <v>1359.1022443890274</v>
      </c>
      <c r="H10" s="20">
        <f t="shared" si="2"/>
        <v>1359.1022443890274</v>
      </c>
      <c r="K10" t="s">
        <v>55</v>
      </c>
      <c r="L10">
        <f>L5/L6</f>
        <v>45391.304347826088</v>
      </c>
      <c r="M10">
        <f>M5/M6</f>
        <v>45391.304347826088</v>
      </c>
      <c r="N10">
        <f t="shared" ref="N10:O10" si="3">N5/N6</f>
        <v>45391.304347826088</v>
      </c>
      <c r="O10">
        <f t="shared" si="3"/>
        <v>45391.304347826088</v>
      </c>
      <c r="R10" t="s">
        <v>3</v>
      </c>
      <c r="S10">
        <f>S5/S6</f>
        <v>2688.5245901639346</v>
      </c>
      <c r="T10">
        <f>T5/T6</f>
        <v>3214.2857142857147</v>
      </c>
      <c r="U10">
        <f t="shared" ref="U10:V10" si="4">U5/U6</f>
        <v>3309.0909090909095</v>
      </c>
      <c r="V10">
        <f t="shared" si="4"/>
        <v>3327.2727272727275</v>
      </c>
    </row>
    <row r="11" spans="3:22" x14ac:dyDescent="0.3">
      <c r="D11" t="s">
        <v>4</v>
      </c>
      <c r="E11" s="20">
        <f>E7/E6</f>
        <v>57.231920199501246</v>
      </c>
      <c r="F11" s="20">
        <f>F7/F6</f>
        <v>44.389027431421447</v>
      </c>
      <c r="G11" s="20">
        <f t="shared" ref="G11:H11" si="5">G7/G6</f>
        <v>25.386533665835412</v>
      </c>
      <c r="H11" s="20">
        <f t="shared" si="5"/>
        <v>1.72069825436409E-3</v>
      </c>
      <c r="K11" t="s">
        <v>4</v>
      </c>
      <c r="L11">
        <f>L7/L6</f>
        <v>0.95652173913043481</v>
      </c>
      <c r="M11">
        <f>M7/M6</f>
        <v>0.73913043478260865</v>
      </c>
      <c r="N11">
        <f t="shared" ref="N11:O11" si="6">N7/N6</f>
        <v>0.41739130434782606</v>
      </c>
      <c r="O11">
        <f t="shared" si="6"/>
        <v>2.8773913043478257E-2</v>
      </c>
      <c r="R11" t="s">
        <v>4</v>
      </c>
      <c r="S11">
        <f>S7/S6</f>
        <v>20.934426229508198</v>
      </c>
      <c r="T11">
        <f>T7/T6</f>
        <v>3.125</v>
      </c>
      <c r="U11">
        <f t="shared" ref="U11:V11" si="7">U7/U6</f>
        <v>0.81818181818181823</v>
      </c>
      <c r="V11">
        <f t="shared" si="7"/>
        <v>3.2909090909090916E-2</v>
      </c>
    </row>
    <row r="12" spans="3:22" x14ac:dyDescent="0.3">
      <c r="D12" t="s">
        <v>5</v>
      </c>
      <c r="E12" s="20">
        <f>E8/E5</f>
        <v>42.11009174311927</v>
      </c>
      <c r="F12" s="20">
        <f>F8/F5</f>
        <v>32.660550458715598</v>
      </c>
      <c r="G12" s="20">
        <f t="shared" ref="G12:H12" si="8">G8/G5</f>
        <v>74.724770642201833</v>
      </c>
      <c r="H12" s="20">
        <f t="shared" si="8"/>
        <v>126.60550458715595</v>
      </c>
      <c r="K12" t="s">
        <v>5</v>
      </c>
      <c r="L12">
        <f>L8/L5</f>
        <v>2.1111111111111113E-3</v>
      </c>
      <c r="M12">
        <f>M8/M5</f>
        <v>1.6283524904214561E-2</v>
      </c>
      <c r="N12">
        <f t="shared" ref="N12:O12" si="9">N8/N5</f>
        <v>3.7356321839080456E-2</v>
      </c>
      <c r="O12">
        <f t="shared" si="9"/>
        <v>6.340996168582376E-2</v>
      </c>
      <c r="R12" t="s">
        <v>5</v>
      </c>
      <c r="S12">
        <f>S8/S5</f>
        <v>0.77439024390243905</v>
      </c>
      <c r="T12">
        <f>T8/T5</f>
        <v>0.97222222222222221</v>
      </c>
      <c r="U12">
        <f t="shared" ref="U12:V12" si="10">U8/U5</f>
        <v>0.98901098901098905</v>
      </c>
      <c r="V12">
        <f t="shared" si="10"/>
        <v>0.98907103825136622</v>
      </c>
    </row>
    <row r="13" spans="3:22" x14ac:dyDescent="0.3">
      <c r="D13" t="s">
        <v>6</v>
      </c>
      <c r="E13" s="20">
        <f>E11*E12</f>
        <v>2410.0414102358782</v>
      </c>
      <c r="F13" s="20">
        <f t="shared" ref="F13" si="11">F11*F12</f>
        <v>1449.770070237251</v>
      </c>
      <c r="G13" s="20">
        <f t="shared" ref="G13" si="12">G11*G12</f>
        <v>1897.0029055800865</v>
      </c>
      <c r="H13" s="20">
        <f t="shared" ref="H13" si="13">H11*H12</f>
        <v>0.21784987073600404</v>
      </c>
      <c r="K13" t="s">
        <v>6</v>
      </c>
      <c r="L13">
        <f>L11*L12</f>
        <v>2.0193236714975849E-3</v>
      </c>
      <c r="M13">
        <f t="shared" ref="M13:O13" si="14">M11*M12</f>
        <v>1.2035648842245545E-2</v>
      </c>
      <c r="N13">
        <f t="shared" si="14"/>
        <v>1.5592203898050973E-2</v>
      </c>
      <c r="O13">
        <f t="shared" si="14"/>
        <v>1.8245527236381807E-3</v>
      </c>
      <c r="R13" t="s">
        <v>6</v>
      </c>
      <c r="S13">
        <f>S11*S12</f>
        <v>16.21141543382647</v>
      </c>
      <c r="T13">
        <f t="shared" ref="T13" si="15">T11*T12</f>
        <v>3.0381944444444442</v>
      </c>
      <c r="U13">
        <f t="shared" ref="U13" si="16">U11*U12</f>
        <v>0.80919080919080932</v>
      </c>
      <c r="V13">
        <f t="shared" ref="V13" si="17">V11*V12</f>
        <v>3.2549428713363152E-2</v>
      </c>
    </row>
    <row r="16" spans="3:22" x14ac:dyDescent="0.3">
      <c r="D16" t="s">
        <v>7</v>
      </c>
      <c r="E16" t="s">
        <v>9</v>
      </c>
      <c r="G16" t="s">
        <v>11</v>
      </c>
      <c r="H16" s="1">
        <v>1.4</v>
      </c>
      <c r="K16" t="s">
        <v>7</v>
      </c>
      <c r="L16" t="s">
        <v>9</v>
      </c>
      <c r="N16" t="s">
        <v>11</v>
      </c>
      <c r="O16" s="1">
        <v>3.4099999999999998E-2</v>
      </c>
      <c r="R16" t="s">
        <v>7</v>
      </c>
      <c r="S16" t="s">
        <v>9</v>
      </c>
      <c r="U16" t="s">
        <v>11</v>
      </c>
      <c r="V16" s="1">
        <v>1.8100000000000002E-2</v>
      </c>
    </row>
    <row r="17" spans="3:22" x14ac:dyDescent="0.3">
      <c r="D17" t="s">
        <v>8</v>
      </c>
      <c r="E17" t="s">
        <v>10</v>
      </c>
      <c r="G17" t="s">
        <v>12</v>
      </c>
      <c r="H17" s="19">
        <f xml:space="preserve"> 0.000475</f>
        <v>4.75E-4</v>
      </c>
      <c r="K17" t="s">
        <v>8</v>
      </c>
      <c r="L17" t="s">
        <v>10</v>
      </c>
      <c r="N17" t="s">
        <v>12</v>
      </c>
      <c r="O17">
        <v>1.13E-5</v>
      </c>
      <c r="R17" t="s">
        <v>8</v>
      </c>
      <c r="S17" t="s">
        <v>10</v>
      </c>
      <c r="U17" t="s">
        <v>12</v>
      </c>
      <c r="V17">
        <v>3.3399999999999999E-4</v>
      </c>
    </row>
    <row r="19" spans="3:22" x14ac:dyDescent="0.3">
      <c r="D19" t="s">
        <v>13</v>
      </c>
      <c r="E19">
        <f>H16/H17</f>
        <v>2947.3684210526312</v>
      </c>
      <c r="K19" t="s">
        <v>13</v>
      </c>
      <c r="L19">
        <f>O16/O17</f>
        <v>3017.6991150442477</v>
      </c>
      <c r="R19" t="s">
        <v>13</v>
      </c>
      <c r="S19">
        <f>V16/V17</f>
        <v>54.191616766467071</v>
      </c>
    </row>
    <row r="21" spans="3:22" x14ac:dyDescent="0.3">
      <c r="D21" t="s">
        <v>45</v>
      </c>
      <c r="E21">
        <v>193</v>
      </c>
      <c r="K21" s="3" t="s">
        <v>46</v>
      </c>
      <c r="L21" s="3">
        <v>9.8000000000000007</v>
      </c>
      <c r="R21" s="14" t="s">
        <v>46</v>
      </c>
      <c r="S21" s="14">
        <v>7.3</v>
      </c>
    </row>
    <row r="22" spans="3:22" x14ac:dyDescent="0.3">
      <c r="C22" s="22" t="s">
        <v>16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3:22" x14ac:dyDescent="0.3">
      <c r="E23" t="s">
        <v>2</v>
      </c>
      <c r="L23" t="s">
        <v>2</v>
      </c>
      <c r="Q23" s="3"/>
      <c r="R23" s="3"/>
      <c r="S23" s="3" t="s">
        <v>2</v>
      </c>
      <c r="T23" s="3"/>
      <c r="U23" s="3"/>
      <c r="V23" s="3"/>
    </row>
    <row r="24" spans="3:22" x14ac:dyDescent="0.3">
      <c r="D24" t="s">
        <v>19</v>
      </c>
      <c r="E24">
        <v>10000</v>
      </c>
      <c r="K24" t="s">
        <v>19</v>
      </c>
      <c r="L24" s="19">
        <v>10000</v>
      </c>
      <c r="Q24" s="3"/>
      <c r="R24" s="3" t="s">
        <v>19</v>
      </c>
      <c r="S24" s="19">
        <v>10000</v>
      </c>
      <c r="T24" s="3"/>
      <c r="U24" s="3"/>
      <c r="V24" s="3"/>
    </row>
    <row r="25" spans="3:22" x14ac:dyDescent="0.3">
      <c r="D25" t="s">
        <v>20</v>
      </c>
      <c r="E25">
        <v>5000</v>
      </c>
      <c r="K25" t="s">
        <v>20</v>
      </c>
      <c r="L25" s="19">
        <v>5000</v>
      </c>
      <c r="Q25" s="3"/>
      <c r="R25" s="3" t="s">
        <v>20</v>
      </c>
      <c r="S25" s="19">
        <v>5000</v>
      </c>
      <c r="T25" s="3"/>
      <c r="U25" s="3"/>
      <c r="V25" s="3"/>
    </row>
    <row r="26" spans="3:22" x14ac:dyDescent="0.3">
      <c r="D26" t="s">
        <v>21</v>
      </c>
      <c r="E26">
        <v>3000</v>
      </c>
      <c r="K26" t="s">
        <v>21</v>
      </c>
      <c r="L26">
        <v>3000</v>
      </c>
      <c r="Q26" s="3"/>
      <c r="R26" s="3" t="s">
        <v>21</v>
      </c>
      <c r="S26" s="3">
        <v>3000</v>
      </c>
      <c r="T26" s="3"/>
      <c r="U26" s="3"/>
      <c r="V26" s="3"/>
    </row>
    <row r="27" spans="3:22" x14ac:dyDescent="0.3">
      <c r="D27" t="s">
        <v>22</v>
      </c>
      <c r="E27">
        <v>3000</v>
      </c>
      <c r="K27" t="s">
        <v>22</v>
      </c>
      <c r="L27">
        <v>3000</v>
      </c>
      <c r="Q27" s="3"/>
      <c r="R27" s="3" t="s">
        <v>22</v>
      </c>
      <c r="S27" s="3">
        <v>3000</v>
      </c>
      <c r="T27" s="3"/>
      <c r="U27" s="3"/>
      <c r="V27" s="3"/>
    </row>
    <row r="28" spans="3:22" x14ac:dyDescent="0.3">
      <c r="N28" s="15"/>
      <c r="O28" s="15"/>
      <c r="P28" s="15"/>
      <c r="Q28" s="3"/>
      <c r="R28" s="3" t="s">
        <v>28</v>
      </c>
      <c r="S28" s="19">
        <f>1.19*10^(-3)</f>
        <v>1.1899999999999999E-3</v>
      </c>
      <c r="T28" s="3"/>
      <c r="U28" s="3"/>
      <c r="V28" s="3"/>
    </row>
    <row r="29" spans="3:22" x14ac:dyDescent="0.3">
      <c r="N29" s="15"/>
      <c r="O29" s="15"/>
      <c r="P29" s="15"/>
      <c r="Q29" s="3"/>
      <c r="R29" s="3" t="s">
        <v>26</v>
      </c>
      <c r="S29" s="19">
        <f>1.2*10^(-3)</f>
        <v>1.1999999999999999E-3</v>
      </c>
      <c r="T29" s="3"/>
      <c r="U29" s="3"/>
      <c r="V29" s="3"/>
    </row>
    <row r="30" spans="3:22" x14ac:dyDescent="0.3">
      <c r="D30" t="s">
        <v>28</v>
      </c>
      <c r="E30">
        <f>1.19*10^(-3)</f>
        <v>1.1899999999999999E-3</v>
      </c>
      <c r="K30" t="s">
        <v>28</v>
      </c>
      <c r="L30" s="19">
        <f>1.19*10^(-3)</f>
        <v>1.1899999999999999E-3</v>
      </c>
      <c r="N30" s="15"/>
      <c r="O30" s="15"/>
      <c r="P30" s="15"/>
      <c r="Q30" s="3"/>
      <c r="R30" s="3" t="s">
        <v>27</v>
      </c>
      <c r="S30" s="19">
        <f>1.2*10^(-3)</f>
        <v>1.1999999999999999E-3</v>
      </c>
      <c r="T30" s="3"/>
      <c r="U30" s="3"/>
      <c r="V30" s="3"/>
    </row>
    <row r="31" spans="3:22" x14ac:dyDescent="0.3">
      <c r="D31" t="s">
        <v>26</v>
      </c>
      <c r="E31">
        <f>1.2*10^(-3)</f>
        <v>1.1999999999999999E-3</v>
      </c>
      <c r="K31" t="s">
        <v>26</v>
      </c>
      <c r="L31" s="19">
        <f>1.2*10^(-3)</f>
        <v>1.1999999999999999E-3</v>
      </c>
      <c r="Q31" s="3"/>
      <c r="T31" s="3"/>
      <c r="U31" s="3"/>
      <c r="V31" s="3"/>
    </row>
    <row r="32" spans="3:22" x14ac:dyDescent="0.3">
      <c r="D32" t="s">
        <v>27</v>
      </c>
      <c r="E32" s="19">
        <f>1.2*10^(-3)</f>
        <v>1.1999999999999999E-3</v>
      </c>
      <c r="K32" t="s">
        <v>27</v>
      </c>
      <c r="L32" s="19">
        <f>1.2*10^(-3)</f>
        <v>1.1999999999999999E-3</v>
      </c>
      <c r="M32" s="16"/>
      <c r="N32" s="13"/>
      <c r="O32" s="13"/>
      <c r="P32" s="13"/>
      <c r="Q32" s="3"/>
      <c r="R32" s="3" t="s">
        <v>49</v>
      </c>
      <c r="S32" s="3">
        <v>1000</v>
      </c>
      <c r="T32" s="3"/>
      <c r="U32" s="3"/>
      <c r="V32" s="3"/>
    </row>
    <row r="33" spans="4:28" x14ac:dyDescent="0.3">
      <c r="M33" s="13"/>
      <c r="N33" s="13"/>
      <c r="O33" s="13"/>
      <c r="P33" s="13"/>
      <c r="Q33" s="3"/>
      <c r="R33" s="3" t="s">
        <v>50</v>
      </c>
      <c r="S33" s="3">
        <f>S32*S34/(S34+S32)</f>
        <v>769.23076923076917</v>
      </c>
      <c r="T33" s="3"/>
    </row>
    <row r="34" spans="4:28" x14ac:dyDescent="0.3">
      <c r="M34" s="13"/>
      <c r="N34" s="13"/>
      <c r="O34" s="13"/>
      <c r="P34" s="13"/>
      <c r="Q34" s="3"/>
      <c r="R34" s="3" t="s">
        <v>18</v>
      </c>
      <c r="S34" s="3">
        <f>S24*S25/(S24+S25)</f>
        <v>3333.3333333333335</v>
      </c>
      <c r="T34" s="3"/>
    </row>
    <row r="35" spans="4:28" x14ac:dyDescent="0.3">
      <c r="D35" t="s">
        <v>18</v>
      </c>
      <c r="E35">
        <f>E24*E25/(E24+E25)</f>
        <v>3333.3333333333335</v>
      </c>
      <c r="K35" t="s">
        <v>18</v>
      </c>
      <c r="L35">
        <f>L24*L25/(L24+L25)</f>
        <v>3333.3333333333335</v>
      </c>
      <c r="M35" s="13"/>
      <c r="N35" s="13"/>
      <c r="O35" s="13"/>
      <c r="Q35" s="3"/>
      <c r="R35" s="3" t="s">
        <v>25</v>
      </c>
      <c r="S35" s="3">
        <f>S30/S29</f>
        <v>1</v>
      </c>
      <c r="T35" s="3"/>
    </row>
    <row r="36" spans="4:28" x14ac:dyDescent="0.3">
      <c r="D36" t="s">
        <v>29</v>
      </c>
      <c r="E36">
        <f>0.026/E30</f>
        <v>21.84873949579832</v>
      </c>
      <c r="I36" t="s">
        <v>37</v>
      </c>
      <c r="K36" t="s">
        <v>29</v>
      </c>
      <c r="L36">
        <f>0.026/L31</f>
        <v>21.666666666666668</v>
      </c>
      <c r="Q36" s="3"/>
      <c r="R36" s="3" t="s">
        <v>29</v>
      </c>
      <c r="S36" s="3">
        <f>0.026/S28</f>
        <v>21.84873949579832</v>
      </c>
      <c r="T36" s="3"/>
      <c r="U36" s="3"/>
      <c r="V36" s="13"/>
      <c r="W36" s="13"/>
      <c r="X36" s="13"/>
    </row>
    <row r="37" spans="4:28" x14ac:dyDescent="0.3">
      <c r="D37" t="s">
        <v>23</v>
      </c>
      <c r="E37">
        <f>(1+60)*E36</f>
        <v>1332.7731092436975</v>
      </c>
      <c r="K37" t="s">
        <v>23</v>
      </c>
      <c r="L37">
        <f>(1+60)*L36</f>
        <v>1321.6666666666667</v>
      </c>
      <c r="Q37" s="3"/>
      <c r="R37" s="3" t="s">
        <v>23</v>
      </c>
      <c r="S37" s="3">
        <f>(1+60)*S36</f>
        <v>1332.7731092436975</v>
      </c>
      <c r="T37" s="3"/>
      <c r="U37" s="3"/>
      <c r="V37" s="13"/>
      <c r="W37" s="13"/>
      <c r="X37" s="13"/>
    </row>
    <row r="38" spans="4:28" x14ac:dyDescent="0.3">
      <c r="D38" t="s">
        <v>24</v>
      </c>
      <c r="E38">
        <f>E35*E37/(E35+E37)</f>
        <v>952.09508944651213</v>
      </c>
      <c r="K38" t="s">
        <v>24</v>
      </c>
      <c r="L38">
        <f>((L37/(60+1))*L36)/((L37/(60+1))+L36)</f>
        <v>10.833333333333334</v>
      </c>
      <c r="Q38" s="3"/>
      <c r="R38" s="3" t="s">
        <v>24</v>
      </c>
      <c r="S38" s="3">
        <f>(S37+(60+1)*S39*S34/(S34+S39))</f>
        <v>7069.4502252311595</v>
      </c>
      <c r="T38" s="3"/>
      <c r="U38" s="3" t="s">
        <v>13</v>
      </c>
      <c r="V38" s="13">
        <f>S26*(S36+S33/(60+1))/(S26+(S36+S33/(60+1)))</f>
        <v>34.06776535797799</v>
      </c>
      <c r="W38" s="13"/>
      <c r="X38" s="13"/>
    </row>
    <row r="39" spans="4:28" x14ac:dyDescent="0.3">
      <c r="K39" t="s">
        <v>47</v>
      </c>
      <c r="L39">
        <f>60/61</f>
        <v>0.98360655737704916</v>
      </c>
      <c r="Q39" s="3"/>
      <c r="R39" s="19" t="s">
        <v>48</v>
      </c>
      <c r="S39" s="3">
        <f>$S26*S40/($S26+S40)</f>
        <v>96.774193548387103</v>
      </c>
      <c r="T39" s="19">
        <f t="shared" ref="T39:V39" si="18">$S26*T40/($S26+T40)</f>
        <v>750</v>
      </c>
      <c r="U39" s="19">
        <f t="shared" si="18"/>
        <v>1714.2857142857142</v>
      </c>
      <c r="V39" s="19">
        <f t="shared" si="18"/>
        <v>2912.6213592233012</v>
      </c>
    </row>
    <row r="40" spans="4:28" x14ac:dyDescent="0.3">
      <c r="D40" t="s">
        <v>30</v>
      </c>
      <c r="E40">
        <v>100</v>
      </c>
      <c r="F40">
        <v>1000</v>
      </c>
      <c r="G40">
        <v>4000</v>
      </c>
      <c r="H40">
        <v>100000</v>
      </c>
      <c r="K40" t="s">
        <v>30</v>
      </c>
      <c r="L40">
        <v>100</v>
      </c>
      <c r="M40">
        <v>1000</v>
      </c>
      <c r="N40">
        <v>4000</v>
      </c>
      <c r="O40">
        <v>100000</v>
      </c>
      <c r="Q40" s="3"/>
      <c r="R40" s="3" t="s">
        <v>30</v>
      </c>
      <c r="S40" s="3">
        <v>100</v>
      </c>
      <c r="T40" s="3">
        <v>1000</v>
      </c>
      <c r="U40" s="3">
        <v>4000</v>
      </c>
      <c r="V40" s="3">
        <v>100000</v>
      </c>
    </row>
    <row r="41" spans="4:28" x14ac:dyDescent="0.3">
      <c r="D41" t="s">
        <v>4</v>
      </c>
      <c r="E41">
        <f>($E35/($E35+$E37))*60*($E27/($E27+E40))</f>
        <v>41.479633925770429</v>
      </c>
      <c r="F41">
        <f>($E35/($E35+$E37))*60*($E27/($E27+F40))</f>
        <v>32.146716292472085</v>
      </c>
      <c r="G41">
        <f>($E35/($E35+$E37))*60*($E27/($E27+G40))</f>
        <v>18.369552167126905</v>
      </c>
      <c r="H41">
        <f>($E35/($E35+$E37))*60*($E27/($E27+H40))</f>
        <v>1.248416166697945</v>
      </c>
      <c r="K41" t="s">
        <v>4</v>
      </c>
      <c r="L41">
        <f>$L26*$L39*$L27/($L26+$L37/(60+1)*($L27+L40))</f>
        <v>126.16331139753123</v>
      </c>
      <c r="M41" s="12">
        <f>$L26*$L39*$L27/($L26+$L37/(60+1)*($L27+M40))</f>
        <v>98.72630873301236</v>
      </c>
      <c r="N41" s="12">
        <f>$L26*$L39*$L27/($L26+$L37/(60+1)*($L27+N40))</f>
        <v>57.235726399095519</v>
      </c>
      <c r="O41" s="12">
        <f>$L26*$L39*$L27/($L26+$L37/(60+1)*($L27+O40))</f>
        <v>3.9614225908681862</v>
      </c>
      <c r="Q41" s="3"/>
      <c r="R41" s="3" t="s">
        <v>4</v>
      </c>
      <c r="S41" s="3">
        <f>$S34*61*$S26/($S34+$S37+61*S39)/($S26+S40)</f>
        <v>18.617466923368909</v>
      </c>
      <c r="T41" s="19">
        <f t="shared" ref="T41:V41" si="19">$S34*61*$S26/($S34+$S37+61*T39)/($S26+T40)</f>
        <v>3.0248269999527739</v>
      </c>
      <c r="U41" s="19">
        <f t="shared" si="19"/>
        <v>0.7977373082584146</v>
      </c>
      <c r="V41" s="19">
        <f t="shared" si="19"/>
        <v>3.2480309940042758E-2</v>
      </c>
      <c r="X41" s="13"/>
      <c r="Y41" s="13"/>
      <c r="Z41" s="13"/>
    </row>
    <row r="42" spans="4:28" x14ac:dyDescent="0.3">
      <c r="D42" t="s">
        <v>5</v>
      </c>
      <c r="E42">
        <f>60*($E27*E40/($E27+E40))/$E37</f>
        <v>4.356669242972786</v>
      </c>
      <c r="F42">
        <f t="shared" ref="F42:H42" si="20">60*($E27*F40/($E27+F40))/$E37</f>
        <v>33.764186633039088</v>
      </c>
      <c r="G42">
        <f t="shared" si="20"/>
        <v>77.175283732660773</v>
      </c>
      <c r="H42">
        <f t="shared" si="20"/>
        <v>131.12305488558872</v>
      </c>
      <c r="K42" t="s">
        <v>5</v>
      </c>
      <c r="L42">
        <f>60*($L27*L40/($E27+L40))/$L37</f>
        <v>4.3932799088801202</v>
      </c>
      <c r="M42" s="12">
        <f t="shared" ref="M42:O42" si="21">60*($L27*M40/($E27+M40))/$L37</f>
        <v>34.047919293820932</v>
      </c>
      <c r="N42" s="12">
        <f t="shared" si="21"/>
        <v>77.823815528733562</v>
      </c>
      <c r="O42" s="12">
        <f t="shared" si="21"/>
        <v>132.22492929639196</v>
      </c>
      <c r="Q42" s="3"/>
      <c r="R42" s="3" t="s">
        <v>5</v>
      </c>
      <c r="S42" s="3">
        <f>61*S39/($S37+61*S39)</f>
        <v>0.81581352833638032</v>
      </c>
      <c r="T42" s="19">
        <f t="shared" ref="T42:V42" si="22">61*T39/($S37+61*T39)</f>
        <v>0.97169297768100171</v>
      </c>
      <c r="U42" s="19">
        <f t="shared" si="22"/>
        <v>0.98741529525653426</v>
      </c>
      <c r="V42" s="19">
        <f t="shared" si="22"/>
        <v>0.99255445148160304</v>
      </c>
      <c r="X42" s="13"/>
      <c r="Y42" s="13"/>
      <c r="Z42" s="13"/>
    </row>
    <row r="43" spans="4:28" x14ac:dyDescent="0.3">
      <c r="D43" t="s">
        <v>6</v>
      </c>
      <c r="E43">
        <f>E41*E42</f>
        <v>180.71304533417455</v>
      </c>
      <c r="F43">
        <f t="shared" ref="F43:H43" si="23">F41*F42</f>
        <v>1085.4077285383858</v>
      </c>
      <c r="G43">
        <f t="shared" si="23"/>
        <v>1417.6754005399325</v>
      </c>
      <c r="H43">
        <f t="shared" si="23"/>
        <v>163.69614154599091</v>
      </c>
      <c r="K43" t="s">
        <v>6</v>
      </c>
      <c r="L43">
        <f>L41*L42</f>
        <v>554.27074120056022</v>
      </c>
      <c r="M43">
        <f t="shared" ref="M43" si="24">M41*M42</f>
        <v>3361.4253919184534</v>
      </c>
      <c r="N43">
        <f t="shared" ref="N43" si="25">N41*N42</f>
        <v>4454.3026129362752</v>
      </c>
      <c r="O43">
        <f t="shared" ref="O43" si="26">O41*O42</f>
        <v>523.79882199067583</v>
      </c>
      <c r="Q43" s="3"/>
      <c r="R43" s="3" t="s">
        <v>6</v>
      </c>
      <c r="S43" s="3">
        <f>S41*S42</f>
        <v>15.188381379439445</v>
      </c>
      <c r="T43" s="3">
        <f t="shared" ref="T43" si="27">T41*T42</f>
        <v>2.9392031545540021</v>
      </c>
      <c r="U43" s="3">
        <f t="shared" ref="U43" si="28">U41*U42</f>
        <v>0.78769801977113529</v>
      </c>
      <c r="V43" s="3">
        <f t="shared" ref="V43" si="29">V41*V42</f>
        <v>3.2238476216491598E-2</v>
      </c>
      <c r="X43" s="13"/>
      <c r="Y43" s="13"/>
      <c r="Z43" s="13"/>
    </row>
    <row r="44" spans="4:28" x14ac:dyDescent="0.3">
      <c r="Q44" s="3"/>
      <c r="R44" s="3"/>
      <c r="S44" s="3"/>
      <c r="T44" s="3"/>
      <c r="U44" s="3"/>
      <c r="V44" s="3"/>
      <c r="W44" s="16"/>
      <c r="X44" s="16"/>
      <c r="Y44" s="16"/>
      <c r="Z44" s="16"/>
      <c r="AA44" s="16"/>
      <c r="AB44" s="16"/>
    </row>
    <row r="45" spans="4:28" ht="14.4" customHeight="1" x14ac:dyDescent="0.3">
      <c r="D45" t="s">
        <v>31</v>
      </c>
      <c r="E45">
        <f t="shared" ref="E45:H47" si="30">ABS(E41-L11)</f>
        <v>40.523112186639992</v>
      </c>
      <c r="F45">
        <f t="shared" si="30"/>
        <v>31.407585857689476</v>
      </c>
      <c r="G45">
        <f t="shared" si="30"/>
        <v>17.952160862779078</v>
      </c>
      <c r="H45">
        <f t="shared" si="30"/>
        <v>1.2196422536544667</v>
      </c>
      <c r="K45" t="s">
        <v>31</v>
      </c>
      <c r="L45">
        <f t="shared" ref="L45:O47" si="31">ABS(L41-E11)</f>
        <v>68.931391198029985</v>
      </c>
      <c r="M45">
        <f t="shared" si="31"/>
        <v>54.337281301590913</v>
      </c>
      <c r="N45">
        <f t="shared" si="31"/>
        <v>31.849192733260107</v>
      </c>
      <c r="O45">
        <f t="shared" si="31"/>
        <v>3.9597018926138219</v>
      </c>
      <c r="Q45" s="3"/>
      <c r="R45" s="3" t="s">
        <v>31</v>
      </c>
      <c r="S45" s="3">
        <f>ABS(S41-S11)</f>
        <v>2.3169593061392888</v>
      </c>
      <c r="T45" s="3">
        <f t="shared" ref="T45:V45" si="32">ABS(T41-T11)</f>
        <v>0.10017300004722607</v>
      </c>
      <c r="U45" s="3">
        <f t="shared" si="32"/>
        <v>2.0444509923403631E-2</v>
      </c>
      <c r="V45" s="3">
        <f t="shared" si="32"/>
        <v>4.2878096904815782E-4</v>
      </c>
      <c r="W45" s="16"/>
      <c r="X45" s="13"/>
      <c r="Y45" s="13"/>
      <c r="Z45" s="13"/>
      <c r="AA45" s="13"/>
      <c r="AB45" s="13"/>
    </row>
    <row r="46" spans="4:28" x14ac:dyDescent="0.3">
      <c r="D46" t="s">
        <v>32</v>
      </c>
      <c r="E46">
        <f t="shared" si="30"/>
        <v>4.3545581318616753</v>
      </c>
      <c r="F46">
        <f t="shared" si="30"/>
        <v>33.747903108134871</v>
      </c>
      <c r="G46">
        <f t="shared" si="30"/>
        <v>77.137927410821689</v>
      </c>
      <c r="H46">
        <f t="shared" si="30"/>
        <v>131.05964492390288</v>
      </c>
      <c r="K46" t="s">
        <v>32</v>
      </c>
      <c r="L46">
        <f t="shared" si="31"/>
        <v>37.716811834239152</v>
      </c>
      <c r="M46">
        <f t="shared" si="31"/>
        <v>1.3873688351053346</v>
      </c>
      <c r="N46">
        <f t="shared" si="31"/>
        <v>3.099044886531729</v>
      </c>
      <c r="O46">
        <f t="shared" si="31"/>
        <v>5.6194247092360143</v>
      </c>
      <c r="Q46" s="3"/>
      <c r="R46" s="3" t="s">
        <v>32</v>
      </c>
      <c r="S46" s="3">
        <f t="shared" ref="S46:V46" si="33">ABS(S42-S12)</f>
        <v>4.1423284433941276E-2</v>
      </c>
      <c r="T46" s="3">
        <f t="shared" si="33"/>
        <v>5.2924454122049713E-4</v>
      </c>
      <c r="U46" s="3">
        <f t="shared" si="33"/>
        <v>1.5956937544547856E-3</v>
      </c>
      <c r="V46" s="3">
        <f t="shared" si="33"/>
        <v>3.4834132302368204E-3</v>
      </c>
      <c r="W46" s="16"/>
      <c r="X46" s="13"/>
      <c r="Y46" s="13"/>
      <c r="Z46" s="13"/>
      <c r="AA46" s="13"/>
      <c r="AB46" s="13"/>
    </row>
    <row r="47" spans="4:28" x14ac:dyDescent="0.3">
      <c r="D47" t="s">
        <v>33</v>
      </c>
      <c r="E47">
        <f t="shared" si="30"/>
        <v>180.71102601050305</v>
      </c>
      <c r="F47">
        <f t="shared" si="30"/>
        <v>1085.3956928895434</v>
      </c>
      <c r="G47">
        <f t="shared" si="30"/>
        <v>1417.6598083360345</v>
      </c>
      <c r="H47">
        <f t="shared" si="30"/>
        <v>163.69431699326728</v>
      </c>
      <c r="K47" t="s">
        <v>33</v>
      </c>
      <c r="L47">
        <f t="shared" si="31"/>
        <v>1855.770669035318</v>
      </c>
      <c r="M47">
        <f t="shared" si="31"/>
        <v>1911.6553216812024</v>
      </c>
      <c r="N47">
        <f t="shared" si="31"/>
        <v>2557.2997073561887</v>
      </c>
      <c r="O47">
        <f t="shared" si="31"/>
        <v>523.58097211993982</v>
      </c>
      <c r="Q47" s="3"/>
      <c r="R47" s="3" t="s">
        <v>33</v>
      </c>
      <c r="S47" s="3">
        <f t="shared" ref="S47:V47" si="34">ABS(S43-S13)</f>
        <v>1.0230340543870255</v>
      </c>
      <c r="T47" s="3">
        <f t="shared" si="34"/>
        <v>9.8991289890442147E-2</v>
      </c>
      <c r="U47" s="3">
        <f t="shared" si="34"/>
        <v>2.149278941967403E-2</v>
      </c>
      <c r="V47" s="3">
        <f t="shared" si="34"/>
        <v>3.1095249687155407E-4</v>
      </c>
      <c r="W47" s="16"/>
      <c r="X47" s="13"/>
      <c r="Y47" s="13"/>
      <c r="Z47" s="13"/>
      <c r="AA47" s="13"/>
      <c r="AB47" s="13"/>
    </row>
    <row r="48" spans="4:28" x14ac:dyDescent="0.3">
      <c r="Q48" s="3"/>
      <c r="R48" s="3"/>
      <c r="S48" s="3"/>
      <c r="T48" s="3"/>
      <c r="U48" s="3"/>
      <c r="V48" s="3"/>
      <c r="W48" s="16"/>
      <c r="X48" s="16"/>
      <c r="Y48" s="16"/>
      <c r="Z48" s="16"/>
      <c r="AA48" s="16"/>
      <c r="AB48" s="16"/>
    </row>
    <row r="49" spans="3:28" x14ac:dyDescent="0.3">
      <c r="D49" s="2" t="s">
        <v>34</v>
      </c>
      <c r="E49">
        <f t="shared" ref="E49:H51" si="35">E41/L11*100%</f>
        <v>43.365071831487263</v>
      </c>
      <c r="F49">
        <f t="shared" si="35"/>
        <v>43.492616160403415</v>
      </c>
      <c r="G49">
        <f t="shared" si="35"/>
        <v>44.010385400408211</v>
      </c>
      <c r="H49">
        <f t="shared" si="35"/>
        <v>43.387083460339589</v>
      </c>
      <c r="K49" s="2" t="s">
        <v>34</v>
      </c>
      <c r="L49">
        <f t="shared" ref="L49:O51" si="36">L41/E11*100%</f>
        <v>2.2044221294296307</v>
      </c>
      <c r="M49">
        <f t="shared" si="36"/>
        <v>2.2241151574122449</v>
      </c>
      <c r="N49">
        <f t="shared" si="36"/>
        <v>2.254570362086179</v>
      </c>
      <c r="O49">
        <f t="shared" si="36"/>
        <v>2302.2180564320906</v>
      </c>
      <c r="Q49" s="3"/>
      <c r="R49" s="2" t="s">
        <v>34</v>
      </c>
      <c r="S49" s="3">
        <f>S41/S11*100%</f>
        <v>0.88932300886883586</v>
      </c>
      <c r="T49" s="3">
        <f t="shared" ref="T49:V49" si="37">T41/T11*100%</f>
        <v>0.96794463998488767</v>
      </c>
      <c r="U49" s="3">
        <f t="shared" si="37"/>
        <v>0.97501226564917332</v>
      </c>
      <c r="V49" s="3">
        <f t="shared" si="37"/>
        <v>0.98697074403444829</v>
      </c>
      <c r="W49" s="16"/>
      <c r="X49" s="13"/>
      <c r="Y49" s="13"/>
      <c r="Z49" s="13"/>
      <c r="AA49" s="16"/>
      <c r="AB49" s="16"/>
    </row>
    <row r="50" spans="3:28" x14ac:dyDescent="0.3">
      <c r="D50" s="2" t="s">
        <v>35</v>
      </c>
      <c r="E50">
        <f t="shared" si="35"/>
        <v>2063.6854308818456</v>
      </c>
      <c r="F50">
        <f t="shared" si="35"/>
        <v>2073.5182849936941</v>
      </c>
      <c r="G50">
        <f t="shared" si="35"/>
        <v>2065.9229799204577</v>
      </c>
      <c r="H50">
        <f t="shared" si="35"/>
        <v>2067.8620740265046</v>
      </c>
      <c r="K50" s="2" t="s">
        <v>35</v>
      </c>
      <c r="L50">
        <f t="shared" si="36"/>
        <v>0.10432843356599848</v>
      </c>
      <c r="M50">
        <f t="shared" si="36"/>
        <v>1.0424784278164274</v>
      </c>
      <c r="N50">
        <f t="shared" si="36"/>
        <v>1.0414727922200071</v>
      </c>
      <c r="O50">
        <f t="shared" si="36"/>
        <v>1.044385311109183</v>
      </c>
      <c r="Q50" s="3"/>
      <c r="R50" s="2" t="s">
        <v>35</v>
      </c>
      <c r="S50" s="3">
        <f t="shared" ref="S50:V50" si="38">S42/S12*100%</f>
        <v>1.0534914854107589</v>
      </c>
      <c r="T50" s="3">
        <f t="shared" si="38"/>
        <v>0.99945563418617323</v>
      </c>
      <c r="U50" s="3">
        <f t="shared" si="38"/>
        <v>0.99838657631494021</v>
      </c>
      <c r="V50" s="3">
        <f t="shared" si="38"/>
        <v>1.0035219039841621</v>
      </c>
      <c r="W50" s="16"/>
      <c r="X50" s="13"/>
      <c r="Y50" s="13"/>
      <c r="Z50" s="13"/>
      <c r="AA50" s="16"/>
      <c r="AB50" s="16"/>
    </row>
    <row r="51" spans="3:28" x14ac:dyDescent="0.3">
      <c r="D51" s="2" t="s">
        <v>36</v>
      </c>
      <c r="E51">
        <f t="shared" si="35"/>
        <v>89491.866947784991</v>
      </c>
      <c r="F51">
        <f t="shared" si="35"/>
        <v>90182.734870808708</v>
      </c>
      <c r="G51">
        <f t="shared" si="35"/>
        <v>90922.066553859142</v>
      </c>
      <c r="H51">
        <f t="shared" si="35"/>
        <v>89718.50439025888</v>
      </c>
      <c r="K51" s="2" t="s">
        <v>36</v>
      </c>
      <c r="L51">
        <f t="shared" si="36"/>
        <v>0.22998390768161617</v>
      </c>
      <c r="M51">
        <f t="shared" si="36"/>
        <v>2.3185920725818026</v>
      </c>
      <c r="N51">
        <f t="shared" si="36"/>
        <v>2.3480736902583654</v>
      </c>
      <c r="O51">
        <f t="shared" si="36"/>
        <v>2404.4027211080079</v>
      </c>
      <c r="Q51" s="3"/>
      <c r="R51" s="2" t="s">
        <v>36</v>
      </c>
      <c r="S51" s="3">
        <f t="shared" ref="S51:V51" si="39">S43/S13*100%</f>
        <v>0.93689421762319536</v>
      </c>
      <c r="T51" s="3">
        <f t="shared" si="39"/>
        <v>0.96741772401320303</v>
      </c>
      <c r="U51" s="3">
        <f t="shared" si="39"/>
        <v>0.97343915776655099</v>
      </c>
      <c r="V51" s="3">
        <f t="shared" si="39"/>
        <v>0.99044676023011446</v>
      </c>
      <c r="W51" s="16"/>
      <c r="X51" s="13"/>
      <c r="Y51" s="13"/>
      <c r="Z51" s="13"/>
      <c r="AA51" s="16"/>
      <c r="AB51" s="16"/>
    </row>
    <row r="52" spans="3:28" x14ac:dyDescent="0.3">
      <c r="Q52" s="3"/>
      <c r="R52" s="3"/>
      <c r="S52" s="3"/>
      <c r="T52" s="3"/>
      <c r="U52" s="3"/>
      <c r="V52" s="3"/>
    </row>
    <row r="53" spans="3:28" ht="15.6" x14ac:dyDescent="0.3">
      <c r="C53" s="11" t="s">
        <v>38</v>
      </c>
      <c r="D53" s="5">
        <f>1/(2*3.14*D54)</f>
        <v>213360.44755303176</v>
      </c>
      <c r="E53" s="5"/>
      <c r="F53" s="6"/>
      <c r="J53" s="11" t="s">
        <v>38</v>
      </c>
      <c r="K53" s="5">
        <f>1/(2*3.14*K54)</f>
        <v>999388.44360923569</v>
      </c>
      <c r="Q53" s="11" t="s">
        <v>38</v>
      </c>
      <c r="R53" s="5">
        <f>1/(2*3.14*R54)</f>
        <v>3353715.9102938506</v>
      </c>
      <c r="S53" s="3"/>
      <c r="T53" s="3"/>
      <c r="U53" s="3"/>
      <c r="V53" s="3"/>
    </row>
    <row r="54" spans="3:28" ht="15.6" x14ac:dyDescent="0.3">
      <c r="C54" s="11" t="s">
        <v>39</v>
      </c>
      <c r="D54" s="7">
        <f>D58*(D59+D60*D55)</f>
        <v>7.463223414462988E-7</v>
      </c>
      <c r="E54" s="8"/>
      <c r="F54" s="8"/>
      <c r="J54" s="11" t="s">
        <v>39</v>
      </c>
      <c r="K54" s="7">
        <f>K58*(K59+K60*K55)</f>
        <v>1.5933310997147232E-7</v>
      </c>
      <c r="Q54" s="11" t="s">
        <v>39</v>
      </c>
      <c r="R54" s="7">
        <f>R58*(R59+R60*R55)</f>
        <v>4.7480368954643147E-8</v>
      </c>
      <c r="S54" s="3"/>
      <c r="T54" s="3"/>
      <c r="U54" s="3"/>
      <c r="V54" s="3"/>
    </row>
    <row r="55" spans="3:28" x14ac:dyDescent="0.3">
      <c r="C55" t="s">
        <v>44</v>
      </c>
      <c r="D55">
        <f>E27*5000/(5000+E27)</f>
        <v>1875</v>
      </c>
      <c r="J55" s="3" t="s">
        <v>44</v>
      </c>
      <c r="K55" s="3">
        <f>L27*5000/(5000+L27)</f>
        <v>1875</v>
      </c>
      <c r="Q55" s="3" t="s">
        <v>44</v>
      </c>
      <c r="R55" s="3">
        <f>S27*5000/(5000+S27)</f>
        <v>1875</v>
      </c>
      <c r="S55" s="3"/>
      <c r="T55" s="3"/>
      <c r="U55" s="3"/>
      <c r="V55" s="3"/>
    </row>
    <row r="56" spans="3:28" x14ac:dyDescent="0.3">
      <c r="C56" t="s">
        <v>43</v>
      </c>
      <c r="D56">
        <v>1000</v>
      </c>
      <c r="J56" s="3" t="s">
        <v>43</v>
      </c>
      <c r="K56" s="3">
        <v>1000</v>
      </c>
      <c r="Q56" s="3" t="s">
        <v>43</v>
      </c>
      <c r="R56" s="3">
        <v>1000</v>
      </c>
      <c r="S56" s="3"/>
      <c r="T56" s="3"/>
      <c r="U56" s="3"/>
      <c r="V56" s="3"/>
    </row>
    <row r="57" spans="3:28" x14ac:dyDescent="0.3">
      <c r="C57" t="s">
        <v>42</v>
      </c>
      <c r="D57">
        <f>D56*E35/(E35+D56)</f>
        <v>769.23076923076917</v>
      </c>
      <c r="E57" s="4"/>
      <c r="F57" s="4"/>
      <c r="G57" s="4"/>
      <c r="J57" s="3" t="s">
        <v>42</v>
      </c>
      <c r="K57" s="3">
        <f>K56*L35/(L35+K56)</f>
        <v>769.23076923076917</v>
      </c>
      <c r="Q57" s="3" t="s">
        <v>42</v>
      </c>
      <c r="R57" s="3">
        <f>R56*S34/(S34+R56)</f>
        <v>769.23076923076917</v>
      </c>
      <c r="S57" s="3"/>
      <c r="T57" s="3"/>
      <c r="U57" s="3"/>
      <c r="V57" s="3"/>
    </row>
    <row r="58" spans="3:28" ht="15.6" x14ac:dyDescent="0.3">
      <c r="C58" s="3" t="s">
        <v>40</v>
      </c>
      <c r="D58" s="9">
        <f>(D57)/(D57+E37)</f>
        <v>0.36595116550833384</v>
      </c>
      <c r="E58" s="4"/>
      <c r="F58" s="4"/>
      <c r="G58" s="4"/>
      <c r="J58" s="3" t="s">
        <v>40</v>
      </c>
      <c r="K58" s="9">
        <f>(K57+L26)/(K57*(60+1)+L37)</f>
        <v>7.8127283695048483E-2</v>
      </c>
      <c r="Q58" s="3" t="s">
        <v>40</v>
      </c>
      <c r="R58" s="9">
        <f>(R57+U39)/(R57+S37+61*U39)</f>
        <v>2.3281490306246735E-2</v>
      </c>
      <c r="S58" s="3"/>
      <c r="T58" s="17"/>
      <c r="U58" s="18"/>
      <c r="V58" s="18"/>
      <c r="W58" s="18"/>
      <c r="X58" s="18"/>
    </row>
    <row r="59" spans="3:28" ht="15.6" x14ac:dyDescent="0.3">
      <c r="C59" s="3" t="s">
        <v>39</v>
      </c>
      <c r="D59" s="10">
        <f>(60+1)/(2*3.14*30*10^(6))</f>
        <v>3.2377919320594477E-7</v>
      </c>
      <c r="E59" s="8"/>
      <c r="F59" s="6"/>
      <c r="G59" s="6"/>
      <c r="J59" s="3" t="s">
        <v>39</v>
      </c>
      <c r="K59" s="10">
        <f>(60+1)/(2*3.14*30*10^(6))</f>
        <v>3.2377919320594477E-7</v>
      </c>
      <c r="Q59" s="3" t="s">
        <v>39</v>
      </c>
      <c r="R59" s="10">
        <f>(60+1)/(2*3.14*30*10^(6))</f>
        <v>3.2377919320594477E-7</v>
      </c>
      <c r="S59" s="3"/>
      <c r="T59" s="3"/>
      <c r="U59" s="3"/>
      <c r="V59" s="3"/>
    </row>
    <row r="60" spans="3:28" ht="15.6" x14ac:dyDescent="0.3">
      <c r="C60" s="3" t="s">
        <v>41</v>
      </c>
      <c r="D60" s="6">
        <f>15*10^(-12)*(60+1)</f>
        <v>9.1500000000000005E-10</v>
      </c>
      <c r="J60" s="3" t="s">
        <v>41</v>
      </c>
      <c r="K60" s="6">
        <f>15*10^(-12)*(60+1)</f>
        <v>9.1500000000000005E-10</v>
      </c>
      <c r="Q60" s="3" t="s">
        <v>41</v>
      </c>
      <c r="R60" s="6">
        <f>15*10^(-12)*(60+1)</f>
        <v>9.1500000000000005E-10</v>
      </c>
      <c r="S60" s="3"/>
      <c r="T60" s="3"/>
      <c r="U60" s="3"/>
      <c r="V60" s="3"/>
    </row>
    <row r="61" spans="3:28" x14ac:dyDescent="0.3">
      <c r="Q61" s="3"/>
      <c r="R61" s="3"/>
      <c r="S61" s="3"/>
      <c r="T61" s="3"/>
      <c r="U61" s="3"/>
      <c r="V61" s="3"/>
    </row>
    <row r="62" spans="3:28" ht="15.6" x14ac:dyDescent="0.3">
      <c r="K62" s="17"/>
      <c r="L62" s="18"/>
      <c r="M62" s="18"/>
      <c r="N62" s="18"/>
      <c r="O62" s="18"/>
    </row>
  </sheetData>
  <mergeCells count="4">
    <mergeCell ref="C2:H2"/>
    <mergeCell ref="J2:O2"/>
    <mergeCell ref="Q2:V2"/>
    <mergeCell ref="C22:V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dcterms:created xsi:type="dcterms:W3CDTF">2024-03-18T09:40:13Z</dcterms:created>
  <dcterms:modified xsi:type="dcterms:W3CDTF">2024-04-23T17:07:38Z</dcterms:modified>
</cp:coreProperties>
</file>