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440" yWindow="460" windowWidth="19960" windowHeight="13640" tabRatio="500"/>
  </bookViews>
  <sheets>
    <sheet name="1" sheetId="1" r:id="rId1"/>
    <sheet name="2" sheetId="3" state="hidden" r:id="rId2"/>
    <sheet name="4" sheetId="4" r:id="rId3"/>
  </sheet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4" l="1"/>
  <c r="A52" i="1"/>
  <c r="B41" i="1"/>
  <c r="K16" i="4"/>
  <c r="C25" i="4"/>
  <c r="C23" i="4"/>
  <c r="G30" i="1"/>
  <c r="F30" i="1"/>
  <c r="E30" i="1"/>
  <c r="D30" i="1"/>
  <c r="C30" i="1"/>
  <c r="B30" i="1"/>
  <c r="B34" i="1"/>
  <c r="C34" i="1"/>
  <c r="D34" i="1"/>
  <c r="E34" i="1"/>
  <c r="F34" i="1"/>
  <c r="G34" i="1"/>
  <c r="E32" i="1"/>
  <c r="D32" i="1"/>
  <c r="C32" i="1"/>
  <c r="B32" i="1"/>
  <c r="B36" i="1"/>
  <c r="C36" i="1"/>
  <c r="D36" i="1"/>
  <c r="E36" i="1"/>
  <c r="E31" i="1"/>
  <c r="D31" i="1"/>
  <c r="C31" i="1"/>
  <c r="B31" i="1"/>
  <c r="B35" i="1"/>
  <c r="C35" i="1"/>
  <c r="D35" i="1"/>
  <c r="E35" i="1"/>
  <c r="E38" i="1"/>
  <c r="D56" i="1"/>
  <c r="I56" i="1"/>
  <c r="I22" i="1"/>
  <c r="K22" i="1"/>
  <c r="G54" i="1"/>
  <c r="G57" i="1"/>
  <c r="I57" i="1"/>
  <c r="I58" i="1"/>
  <c r="J20" i="1"/>
  <c r="J21" i="1"/>
  <c r="H22" i="1"/>
  <c r="J22" i="1"/>
  <c r="J23" i="1"/>
  <c r="J24" i="1"/>
  <c r="J25" i="1"/>
  <c r="J26" i="1"/>
  <c r="I14" i="4"/>
  <c r="I13" i="4"/>
  <c r="I19" i="4"/>
  <c r="K17" i="4"/>
  <c r="K15" i="4"/>
  <c r="K13" i="4"/>
  <c r="K14" i="4"/>
  <c r="E4" i="4"/>
  <c r="E9" i="4"/>
  <c r="E10" i="4"/>
  <c r="E17" i="4"/>
  <c r="F4" i="4"/>
  <c r="G4" i="4"/>
  <c r="F9" i="4"/>
  <c r="G9" i="4"/>
  <c r="F10" i="4"/>
  <c r="G10" i="4"/>
  <c r="G17" i="4"/>
  <c r="F17" i="4"/>
  <c r="J17" i="4"/>
  <c r="E3" i="4"/>
  <c r="E7" i="4"/>
  <c r="E15" i="4"/>
  <c r="F3" i="4"/>
  <c r="G3" i="4"/>
  <c r="F7" i="4"/>
  <c r="G7" i="4"/>
  <c r="G15" i="4"/>
  <c r="F15" i="4"/>
  <c r="J15" i="4"/>
  <c r="E6" i="4"/>
  <c r="E11" i="4"/>
  <c r="E14" i="4"/>
  <c r="F6" i="4"/>
  <c r="G6" i="4"/>
  <c r="F11" i="4"/>
  <c r="G11" i="4"/>
  <c r="G14" i="4"/>
  <c r="F14" i="4"/>
  <c r="J14" i="4"/>
  <c r="H17" i="4"/>
  <c r="H15" i="4"/>
  <c r="H14" i="4"/>
  <c r="B42" i="1"/>
  <c r="C42" i="1"/>
  <c r="D42" i="1"/>
  <c r="E42" i="1"/>
  <c r="C41" i="1"/>
  <c r="D41" i="1"/>
  <c r="E41" i="1"/>
  <c r="E45" i="1"/>
  <c r="B54" i="1"/>
  <c r="B57" i="1"/>
  <c r="D57" i="1"/>
  <c r="D58" i="1"/>
  <c r="I21" i="1"/>
  <c r="I24" i="1"/>
  <c r="I25" i="1"/>
  <c r="I26" i="1"/>
  <c r="I20" i="1"/>
  <c r="H24" i="1"/>
  <c r="H25" i="1"/>
  <c r="H26" i="1"/>
  <c r="H21" i="1"/>
  <c r="H20" i="1"/>
  <c r="L19" i="4"/>
  <c r="C33" i="4"/>
  <c r="F5" i="4"/>
  <c r="F8" i="4"/>
  <c r="F2" i="4"/>
  <c r="B32" i="4"/>
  <c r="B31" i="4"/>
  <c r="C24" i="4"/>
  <c r="B26" i="4"/>
  <c r="C31" i="4"/>
  <c r="C32" i="4"/>
  <c r="B34" i="4"/>
  <c r="E8" i="4"/>
  <c r="E16" i="4"/>
  <c r="G8" i="4"/>
  <c r="G16" i="4"/>
  <c r="F16" i="4"/>
  <c r="J16" i="4"/>
  <c r="E2" i="4"/>
  <c r="E5" i="4"/>
  <c r="E13" i="4"/>
  <c r="G2" i="4"/>
  <c r="G5" i="4"/>
  <c r="G13" i="4"/>
  <c r="F13" i="4"/>
  <c r="J13" i="4"/>
  <c r="H16" i="4"/>
  <c r="H13" i="4"/>
  <c r="C12" i="3"/>
  <c r="F2" i="3"/>
  <c r="F3" i="3"/>
  <c r="F5" i="3"/>
  <c r="F6" i="3"/>
  <c r="F7" i="3"/>
  <c r="F11" i="3"/>
  <c r="G2" i="3"/>
  <c r="G3" i="3"/>
  <c r="G5" i="3"/>
  <c r="G6" i="3"/>
  <c r="G7" i="3"/>
  <c r="G11" i="3"/>
  <c r="B11" i="3"/>
  <c r="H2" i="3"/>
  <c r="H3" i="3"/>
  <c r="H5" i="3"/>
  <c r="H6" i="3"/>
  <c r="H7" i="3"/>
  <c r="H11" i="3"/>
  <c r="G4" i="3"/>
  <c r="H4" i="3"/>
  <c r="H10" i="3"/>
  <c r="G10" i="3"/>
  <c r="F4" i="3"/>
  <c r="F10" i="3"/>
  <c r="B10" i="3"/>
  <c r="F41" i="1"/>
  <c r="G41" i="1"/>
  <c r="A50" i="1"/>
  <c r="D45" i="1"/>
  <c r="C45" i="1"/>
  <c r="C44" i="1"/>
  <c r="D44" i="1"/>
  <c r="E44" i="1"/>
  <c r="B44" i="1"/>
  <c r="D38" i="1"/>
  <c r="C38" i="1"/>
  <c r="B38" i="1"/>
</calcChain>
</file>

<file path=xl/sharedStrings.xml><?xml version="1.0" encoding="utf-8"?>
<sst xmlns="http://schemas.openxmlformats.org/spreadsheetml/2006/main" count="159" uniqueCount="100">
  <si>
    <t>BCWS</t>
  </si>
  <si>
    <t>ACWP</t>
  </si>
  <si>
    <t>BCWP</t>
  </si>
  <si>
    <t>CI</t>
  </si>
  <si>
    <t>SI($)</t>
  </si>
  <si>
    <t>SI(t)</t>
  </si>
  <si>
    <t>sem 1, 2013</t>
  </si>
  <si>
    <t>sem 2, 2013</t>
  </si>
  <si>
    <t>sem 1, 2014</t>
  </si>
  <si>
    <t>sem 2, 2014</t>
  </si>
  <si>
    <t>sem 1, 2015</t>
  </si>
  <si>
    <t>sem 2, 2015</t>
  </si>
  <si>
    <t>CRITICAL PATH</t>
  </si>
  <si>
    <t>TASK</t>
  </si>
  <si>
    <t>optimistic duration [weeks]</t>
  </si>
  <si>
    <t>most likely duration [weeks]</t>
  </si>
  <si>
    <t>pessimistic duration [weeks]</t>
  </si>
  <si>
    <t>PREDECESSOR</t>
  </si>
  <si>
    <t>Basic design</t>
  </si>
  <si>
    <t>Detailed design</t>
  </si>
  <si>
    <t>basic design</t>
  </si>
  <si>
    <t>Procurement</t>
  </si>
  <si>
    <t>Civil works erection</t>
  </si>
  <si>
    <t>detailed design</t>
  </si>
  <si>
    <t>Assembly of production line</t>
  </si>
  <si>
    <t>procurement; civil works erection</t>
  </si>
  <si>
    <t>Testing</t>
  </si>
  <si>
    <t>assembly of production line</t>
  </si>
  <si>
    <t>m</t>
  </si>
  <si>
    <t>d</t>
  </si>
  <si>
    <t>V</t>
  </si>
  <si>
    <t xml:space="preserve"> bd-proc-ass-test</t>
  </si>
  <si>
    <t>z</t>
  </si>
  <si>
    <t>p</t>
  </si>
  <si>
    <t>bd-dd-cw-ass-test</t>
  </si>
  <si>
    <t>p1*p2</t>
  </si>
  <si>
    <t>e</t>
  </si>
  <si>
    <t>1-2-6-7</t>
  </si>
  <si>
    <t>1-3-6-7</t>
  </si>
  <si>
    <t>1-3-5-7</t>
  </si>
  <si>
    <t>more than</t>
  </si>
  <si>
    <t>less than</t>
  </si>
  <si>
    <t>S1</t>
  </si>
  <si>
    <t>outcome</t>
  </si>
  <si>
    <t>S2</t>
  </si>
  <si>
    <t>S3</t>
  </si>
  <si>
    <t>&gt;0</t>
  </si>
  <si>
    <t>P2</t>
  </si>
  <si>
    <t>P3</t>
  </si>
  <si>
    <t>&lt;0</t>
  </si>
  <si>
    <t>EAC (per task)</t>
  </si>
  <si>
    <t>Launch</t>
  </si>
  <si>
    <t>Prj mng support</t>
  </si>
  <si>
    <t>All tasks</t>
  </si>
  <si>
    <t>All tasks - Cumulative</t>
  </si>
  <si>
    <t>Component identification</t>
  </si>
  <si>
    <t>Marketing and legal support</t>
  </si>
  <si>
    <t>Corporate overhead</t>
  </si>
  <si>
    <t>Preclinical test</t>
  </si>
  <si>
    <t>Clinical program</t>
  </si>
  <si>
    <t>CEAC - Line by line</t>
  </si>
  <si>
    <t>Cost of acceleration (CR)</t>
  </si>
  <si>
    <t>AC</t>
  </si>
  <si>
    <t>EAC</t>
  </si>
  <si>
    <t>Loss of sales</t>
  </si>
  <si>
    <t>1-2</t>
  </si>
  <si>
    <t>1-3</t>
  </si>
  <si>
    <t>1-4</t>
  </si>
  <si>
    <t>2-6</t>
  </si>
  <si>
    <t>3-6</t>
  </si>
  <si>
    <t>3-7</t>
  </si>
  <si>
    <t>3-5</t>
  </si>
  <si>
    <t>4-5</t>
  </si>
  <si>
    <t>5-7</t>
  </si>
  <si>
    <t>6-7</t>
  </si>
  <si>
    <t>P1</t>
  </si>
  <si>
    <t>1-3-7</t>
  </si>
  <si>
    <t>P4</t>
  </si>
  <si>
    <t>1-4-5-7</t>
  </si>
  <si>
    <t>P5</t>
  </si>
  <si>
    <t>P1*P2*P3*P4*P5</t>
  </si>
  <si>
    <t>Task (AON)</t>
  </si>
  <si>
    <t>CRITICAL PATH ONLY</t>
  </si>
  <si>
    <t>decision tree</t>
  </si>
  <si>
    <t>status</t>
  </si>
  <si>
    <t>likelihood</t>
  </si>
  <si>
    <t>utility</t>
  </si>
  <si>
    <t>positive, bid</t>
  </si>
  <si>
    <t>average</t>
  </si>
  <si>
    <t>negative, no bid</t>
  </si>
  <si>
    <t>MERGE NODE BIAS</t>
  </si>
  <si>
    <t>Most likely</t>
  </si>
  <si>
    <t>Pessimistic duration</t>
  </si>
  <si>
    <t>Optimistic duration [weeks]</t>
  </si>
  <si>
    <t>CEAC - Synthetic integrated index (average behavior)</t>
  </si>
  <si>
    <t>EAC=BAC/(CI*SI(t))</t>
  </si>
  <si>
    <t>Cost of delay using average SI(t)</t>
  </si>
  <si>
    <t>Cost of delay using line by line approach</t>
  </si>
  <si>
    <t>In any case, acceleration is less expensive than cost of delay</t>
  </si>
  <si>
    <t>better to consider straight linear impact of O/H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</si>
</sst>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_-;\-* #,##0.000_-;_-* &quot;-&quot;??_-;_-@_-"/>
    <numFmt numFmtId="165" formatCode="0.0"/>
    <numFmt numFmtId="166" formatCode="0.0000000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b/>
      <sz val="9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theme="1"/>
      <name val="Arial Narrow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43" fontId="0" fillId="0" borderId="0" xfId="1" applyFont="1"/>
    <xf numFmtId="10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0" fontId="3" fillId="0" borderId="0" xfId="0" applyFont="1"/>
    <xf numFmtId="43" fontId="3" fillId="0" borderId="0" xfId="1" applyFont="1"/>
    <xf numFmtId="10" fontId="3" fillId="0" borderId="0" xfId="2" applyNumberFormat="1" applyFont="1"/>
    <xf numFmtId="0" fontId="7" fillId="0" borderId="5" xfId="0" applyFont="1" applyBorder="1"/>
    <xf numFmtId="0" fontId="8" fillId="0" borderId="5" xfId="0" applyFont="1" applyBorder="1" applyAlignment="1">
      <alignment horizontal="center" vertical="center"/>
    </xf>
    <xf numFmtId="0" fontId="9" fillId="0" borderId="0" xfId="0" applyFont="1"/>
    <xf numFmtId="0" fontId="9" fillId="0" borderId="5" xfId="0" applyFont="1" applyBorder="1"/>
    <xf numFmtId="3" fontId="8" fillId="0" borderId="5" xfId="0" applyNumberFormat="1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0" fontId="10" fillId="0" borderId="6" xfId="0" applyFont="1" applyFill="1" applyBorder="1" applyAlignment="1">
      <alignment horizontal="left" vertical="center"/>
    </xf>
    <xf numFmtId="3" fontId="9" fillId="0" borderId="5" xfId="0" applyNumberFormat="1" applyFont="1" applyBorder="1"/>
    <xf numFmtId="0" fontId="8" fillId="0" borderId="0" xfId="0" applyFont="1" applyFill="1" applyBorder="1" applyAlignment="1">
      <alignment horizontal="center" vertical="center"/>
    </xf>
    <xf numFmtId="43" fontId="9" fillId="0" borderId="0" xfId="1" applyFon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4" xfId="0" applyFont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7" xfId="0" applyFont="1" applyFill="1" applyBorder="1" applyAlignment="1">
      <alignment horizontal="justify" vertical="center" wrapText="1"/>
    </xf>
    <xf numFmtId="10" fontId="3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14" fillId="0" borderId="0" xfId="0" applyFont="1" applyAlignment="1">
      <alignment horizontal="right" indent="1"/>
    </xf>
    <xf numFmtId="165" fontId="0" fillId="0" borderId="0" xfId="0" applyNumberFormat="1"/>
    <xf numFmtId="10" fontId="0" fillId="0" borderId="0" xfId="0" applyNumberFormat="1" applyFont="1"/>
    <xf numFmtId="0" fontId="8" fillId="0" borderId="0" xfId="0" applyFont="1" applyFill="1" applyBorder="1" applyAlignment="1">
      <alignment horizontal="left" vertical="center"/>
    </xf>
    <xf numFmtId="43" fontId="9" fillId="0" borderId="0" xfId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3" fontId="9" fillId="0" borderId="0" xfId="0" applyNumberFormat="1" applyFont="1"/>
    <xf numFmtId="43" fontId="9" fillId="0" borderId="0" xfId="1" applyFont="1" applyAlignment="1">
      <alignment horizontal="right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/>
    <xf numFmtId="43" fontId="9" fillId="0" borderId="0" xfId="0" applyNumberFormat="1" applyFont="1"/>
    <xf numFmtId="43" fontId="7" fillId="0" borderId="0" xfId="0" applyNumberFormat="1" applyFont="1"/>
    <xf numFmtId="43" fontId="9" fillId="0" borderId="8" xfId="0" applyNumberFormat="1" applyFont="1" applyBorder="1"/>
    <xf numFmtId="0" fontId="13" fillId="0" borderId="1" xfId="0" quotePrefix="1" applyNumberFormat="1" applyFont="1" applyBorder="1" applyAlignment="1">
      <alignment horizontal="justify" vertical="center" wrapText="1"/>
    </xf>
    <xf numFmtId="0" fontId="13" fillId="0" borderId="3" xfId="0" quotePrefix="1" applyNumberFormat="1" applyFont="1" applyBorder="1" applyAlignment="1">
      <alignment horizontal="justify" vertical="center" wrapText="1"/>
    </xf>
    <xf numFmtId="0" fontId="0" fillId="0" borderId="0" xfId="0" applyFont="1"/>
    <xf numFmtId="43" fontId="1" fillId="0" borderId="0" xfId="1" applyFont="1"/>
    <xf numFmtId="164" fontId="0" fillId="0" borderId="0" xfId="0" applyNumberFormat="1" applyFont="1"/>
    <xf numFmtId="14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  <xf numFmtId="166" fontId="0" fillId="0" borderId="0" xfId="2" applyNumberFormat="1" applyFont="1"/>
  </cellXfs>
  <cellStyles count="10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39" zoomScale="344" zoomScaleNormal="125" zoomScalePageLayoutView="125" workbookViewId="0">
      <selection activeCell="E45" sqref="E45"/>
    </sheetView>
  </sheetViews>
  <sheetFormatPr baseColWidth="10" defaultRowHeight="12" x14ac:dyDescent="0.15"/>
  <cols>
    <col min="1" max="1" width="23.1640625" style="10" bestFit="1" customWidth="1"/>
    <col min="2" max="7" width="10.33203125" style="10" customWidth="1"/>
    <col min="8" max="16384" width="10.83203125" style="10"/>
  </cols>
  <sheetData>
    <row r="1" spans="1:11" x14ac:dyDescent="0.15">
      <c r="A1" s="8" t="s">
        <v>0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40" t="s">
        <v>3</v>
      </c>
      <c r="I1" s="40" t="s">
        <v>4</v>
      </c>
      <c r="J1" s="40" t="s">
        <v>50</v>
      </c>
      <c r="K1" s="10" t="s">
        <v>62</v>
      </c>
    </row>
    <row r="2" spans="1:11" x14ac:dyDescent="0.15">
      <c r="A2" s="11" t="s">
        <v>55</v>
      </c>
      <c r="B2" s="12">
        <v>200000</v>
      </c>
      <c r="C2" s="12">
        <v>90000</v>
      </c>
      <c r="D2" s="12"/>
      <c r="E2" s="12"/>
      <c r="F2" s="12"/>
      <c r="G2" s="12"/>
    </row>
    <row r="3" spans="1:11" x14ac:dyDescent="0.15">
      <c r="A3" s="11" t="s">
        <v>58</v>
      </c>
      <c r="B3" s="12"/>
      <c r="C3" s="12">
        <v>50000</v>
      </c>
      <c r="D3" s="12">
        <v>200000</v>
      </c>
      <c r="E3" s="12"/>
      <c r="F3" s="12"/>
      <c r="G3" s="12"/>
    </row>
    <row r="4" spans="1:11" x14ac:dyDescent="0.15">
      <c r="A4" s="11" t="s">
        <v>59</v>
      </c>
      <c r="B4" s="12"/>
      <c r="C4" s="12"/>
      <c r="D4" s="12"/>
      <c r="E4" s="12">
        <v>260000</v>
      </c>
      <c r="F4" s="12">
        <v>200000</v>
      </c>
      <c r="G4" s="12"/>
    </row>
    <row r="5" spans="1:11" x14ac:dyDescent="0.15">
      <c r="A5" s="11" t="s">
        <v>51</v>
      </c>
      <c r="B5" s="12"/>
      <c r="C5" s="12"/>
      <c r="D5" s="12"/>
      <c r="E5" s="12"/>
      <c r="F5" s="12"/>
      <c r="G5" s="12">
        <v>100000</v>
      </c>
    </row>
    <row r="6" spans="1:11" x14ac:dyDescent="0.15">
      <c r="A6" s="11" t="s">
        <v>56</v>
      </c>
      <c r="B6" s="12"/>
      <c r="C6" s="12">
        <v>10000</v>
      </c>
      <c r="D6" s="12">
        <v>30000</v>
      </c>
      <c r="E6" s="12">
        <v>50000</v>
      </c>
      <c r="F6" s="12">
        <v>100000</v>
      </c>
      <c r="G6" s="12"/>
    </row>
    <row r="7" spans="1:11" x14ac:dyDescent="0.15">
      <c r="A7" s="11" t="s">
        <v>52</v>
      </c>
      <c r="B7" s="12">
        <v>30000</v>
      </c>
      <c r="C7" s="12">
        <v>30000</v>
      </c>
      <c r="D7" s="12">
        <v>30000</v>
      </c>
      <c r="E7" s="12">
        <v>30000</v>
      </c>
      <c r="F7" s="12">
        <v>30000</v>
      </c>
      <c r="G7" s="12">
        <v>30000</v>
      </c>
    </row>
    <row r="8" spans="1:11" x14ac:dyDescent="0.15">
      <c r="A8" s="11" t="s">
        <v>57</v>
      </c>
      <c r="B8" s="12">
        <v>100000</v>
      </c>
      <c r="C8" s="12">
        <v>100000</v>
      </c>
      <c r="D8" s="12">
        <v>100000</v>
      </c>
      <c r="E8" s="12">
        <v>100000</v>
      </c>
      <c r="F8" s="12">
        <v>100000</v>
      </c>
      <c r="G8" s="12">
        <v>100000</v>
      </c>
    </row>
    <row r="10" spans="1:11" x14ac:dyDescent="0.15">
      <c r="A10" s="8" t="s">
        <v>1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</row>
    <row r="11" spans="1:11" x14ac:dyDescent="0.15">
      <c r="A11" s="11" t="s">
        <v>55</v>
      </c>
      <c r="B11" s="12">
        <v>190000</v>
      </c>
      <c r="C11" s="12">
        <v>130000</v>
      </c>
      <c r="D11" s="12"/>
      <c r="E11" s="12"/>
      <c r="F11" s="12"/>
      <c r="G11" s="12"/>
    </row>
    <row r="12" spans="1:11" x14ac:dyDescent="0.15">
      <c r="A12" s="11" t="s">
        <v>58</v>
      </c>
      <c r="B12" s="12"/>
      <c r="C12" s="12">
        <v>60000</v>
      </c>
      <c r="D12" s="12">
        <v>220000</v>
      </c>
      <c r="E12" s="12">
        <v>40000</v>
      </c>
      <c r="F12" s="12"/>
      <c r="G12" s="12"/>
    </row>
    <row r="13" spans="1:11" x14ac:dyDescent="0.15">
      <c r="A13" s="11" t="s">
        <v>59</v>
      </c>
      <c r="B13" s="12"/>
      <c r="C13" s="12"/>
      <c r="D13" s="12"/>
      <c r="E13" s="12">
        <v>170000</v>
      </c>
      <c r="F13" s="12"/>
      <c r="G13" s="12"/>
    </row>
    <row r="14" spans="1:11" x14ac:dyDescent="0.15">
      <c r="A14" s="11" t="s">
        <v>51</v>
      </c>
      <c r="B14" s="12"/>
      <c r="C14" s="12"/>
      <c r="D14" s="12"/>
      <c r="E14" s="12"/>
      <c r="F14" s="12"/>
      <c r="G14" s="12"/>
    </row>
    <row r="15" spans="1:11" x14ac:dyDescent="0.15">
      <c r="A15" s="11" t="s">
        <v>56</v>
      </c>
      <c r="B15" s="12"/>
      <c r="C15" s="12">
        <v>10000</v>
      </c>
      <c r="D15" s="12">
        <v>30000</v>
      </c>
      <c r="E15" s="12">
        <v>50000</v>
      </c>
      <c r="F15" s="12"/>
      <c r="G15" s="12"/>
    </row>
    <row r="16" spans="1:11" x14ac:dyDescent="0.15">
      <c r="A16" s="11" t="s">
        <v>52</v>
      </c>
      <c r="B16" s="12">
        <v>30000</v>
      </c>
      <c r="C16" s="12">
        <v>30000</v>
      </c>
      <c r="D16" s="12">
        <v>30000</v>
      </c>
      <c r="E16" s="12">
        <v>30000</v>
      </c>
      <c r="F16" s="12"/>
      <c r="G16" s="12"/>
    </row>
    <row r="17" spans="1:11" x14ac:dyDescent="0.15">
      <c r="A17" s="11" t="s">
        <v>57</v>
      </c>
      <c r="B17" s="12">
        <v>100000</v>
      </c>
      <c r="C17" s="12">
        <v>100000</v>
      </c>
      <c r="D17" s="12">
        <v>100000</v>
      </c>
      <c r="E17" s="12">
        <v>100000</v>
      </c>
      <c r="F17" s="12"/>
      <c r="G17" s="12"/>
    </row>
    <row r="19" spans="1:11" x14ac:dyDescent="0.15">
      <c r="A19" s="8" t="s">
        <v>2</v>
      </c>
      <c r="B19" s="9" t="s">
        <v>6</v>
      </c>
      <c r="C19" s="9" t="s">
        <v>7</v>
      </c>
      <c r="D19" s="9" t="s">
        <v>8</v>
      </c>
      <c r="E19" s="9" t="s">
        <v>9</v>
      </c>
      <c r="F19" s="9" t="s">
        <v>10</v>
      </c>
      <c r="G19" s="9" t="s">
        <v>11</v>
      </c>
    </row>
    <row r="20" spans="1:11" x14ac:dyDescent="0.15">
      <c r="A20" s="11" t="s">
        <v>55</v>
      </c>
      <c r="B20" s="12">
        <v>180000</v>
      </c>
      <c r="C20" s="12">
        <v>110000</v>
      </c>
      <c r="D20" s="12"/>
      <c r="E20" s="12"/>
      <c r="F20" s="12"/>
      <c r="G20" s="12"/>
      <c r="H20" s="18">
        <f>SUM(B20:E20)/SUM(B11:E11)</f>
        <v>0.90625</v>
      </c>
      <c r="I20" s="18">
        <f>SUM(B20:E20)/SUM(B2:E2)</f>
        <v>1</v>
      </c>
      <c r="J20" s="41">
        <f>SUM(B11:C11)</f>
        <v>320000</v>
      </c>
    </row>
    <row r="21" spans="1:11" x14ac:dyDescent="0.15">
      <c r="A21" s="11" t="s">
        <v>58</v>
      </c>
      <c r="B21" s="12"/>
      <c r="C21" s="12">
        <v>40000</v>
      </c>
      <c r="D21" s="12">
        <v>180000</v>
      </c>
      <c r="E21" s="12">
        <v>30000</v>
      </c>
      <c r="F21" s="12"/>
      <c r="G21" s="12"/>
      <c r="H21" s="18">
        <f t="shared" ref="H21:H26" si="0">SUM(B21:E21)/SUM(B12:E12)</f>
        <v>0.78125</v>
      </c>
      <c r="I21" s="18">
        <f t="shared" ref="I21:I26" si="1">SUM(B21:E21)/SUM(B3:E3)</f>
        <v>1</v>
      </c>
      <c r="J21" s="41">
        <f>SUM(C12:E12)</f>
        <v>320000</v>
      </c>
    </row>
    <row r="22" spans="1:11" x14ac:dyDescent="0.15">
      <c r="A22" s="11" t="s">
        <v>59</v>
      </c>
      <c r="B22" s="12"/>
      <c r="C22" s="12"/>
      <c r="D22" s="12"/>
      <c r="E22" s="12">
        <v>160000</v>
      </c>
      <c r="F22" s="12"/>
      <c r="G22" s="12"/>
      <c r="H22" s="18">
        <f t="shared" si="0"/>
        <v>0.94117647058823528</v>
      </c>
      <c r="I22" s="18">
        <f t="shared" si="1"/>
        <v>0.61538461538461542</v>
      </c>
      <c r="J22" s="41">
        <f>SUM(E4:F4)/(H22*I22)</f>
        <v>794218.74999999988</v>
      </c>
      <c r="K22" s="45">
        <f>2/I22</f>
        <v>3.25</v>
      </c>
    </row>
    <row r="23" spans="1:11" x14ac:dyDescent="0.15">
      <c r="A23" s="11" t="s">
        <v>51</v>
      </c>
      <c r="B23" s="12"/>
      <c r="C23" s="12"/>
      <c r="D23" s="12"/>
      <c r="E23" s="12"/>
      <c r="F23" s="12"/>
      <c r="G23" s="12"/>
      <c r="H23" s="18"/>
      <c r="I23" s="18"/>
      <c r="J23" s="41">
        <f>SUM(G5)</f>
        <v>100000</v>
      </c>
    </row>
    <row r="24" spans="1:11" x14ac:dyDescent="0.15">
      <c r="A24" s="11" t="s">
        <v>56</v>
      </c>
      <c r="B24" s="12"/>
      <c r="C24" s="12">
        <v>10000</v>
      </c>
      <c r="D24" s="12">
        <v>30000</v>
      </c>
      <c r="E24" s="12">
        <v>50000</v>
      </c>
      <c r="F24" s="12"/>
      <c r="G24" s="12"/>
      <c r="H24" s="18">
        <f>SUM(B24:E24)/SUM(B15:E15)</f>
        <v>1</v>
      </c>
      <c r="I24" s="18">
        <f t="shared" si="1"/>
        <v>1</v>
      </c>
      <c r="J24" s="41">
        <f>SUM(C6:G6)</f>
        <v>190000</v>
      </c>
    </row>
    <row r="25" spans="1:11" x14ac:dyDescent="0.15">
      <c r="A25" s="11" t="s">
        <v>52</v>
      </c>
      <c r="B25" s="12">
        <v>30000</v>
      </c>
      <c r="C25" s="12">
        <v>30000</v>
      </c>
      <c r="D25" s="12">
        <v>30000</v>
      </c>
      <c r="E25" s="12">
        <v>30000</v>
      </c>
      <c r="F25" s="12"/>
      <c r="G25" s="12"/>
      <c r="H25" s="18">
        <f t="shared" si="0"/>
        <v>1</v>
      </c>
      <c r="I25" s="18">
        <f t="shared" si="1"/>
        <v>1</v>
      </c>
      <c r="J25" s="41">
        <f>SUM(C7:G7)</f>
        <v>150000</v>
      </c>
    </row>
    <row r="26" spans="1:11" x14ac:dyDescent="0.15">
      <c r="A26" s="11" t="s">
        <v>57</v>
      </c>
      <c r="B26" s="12">
        <v>100000</v>
      </c>
      <c r="C26" s="12">
        <v>100000</v>
      </c>
      <c r="D26" s="12">
        <v>100000</v>
      </c>
      <c r="E26" s="12">
        <v>100000</v>
      </c>
      <c r="F26" s="12"/>
      <c r="G26" s="12"/>
      <c r="H26" s="18">
        <f t="shared" si="0"/>
        <v>1</v>
      </c>
      <c r="I26" s="18">
        <f t="shared" si="1"/>
        <v>1</v>
      </c>
      <c r="J26" s="41">
        <f>SUM(B8:G8)</f>
        <v>600000</v>
      </c>
    </row>
    <row r="28" spans="1:11" x14ac:dyDescent="0.15">
      <c r="A28" s="13" t="s">
        <v>53</v>
      </c>
      <c r="B28" s="9" t="s">
        <v>6</v>
      </c>
      <c r="C28" s="9" t="s">
        <v>7</v>
      </c>
      <c r="D28" s="9" t="s">
        <v>8</v>
      </c>
      <c r="E28" s="9" t="s">
        <v>9</v>
      </c>
      <c r="F28" s="9" t="s">
        <v>10</v>
      </c>
      <c r="G28" s="9" t="s">
        <v>11</v>
      </c>
    </row>
    <row r="29" spans="1:11" x14ac:dyDescent="0.15">
      <c r="A29" s="9"/>
      <c r="B29" s="9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</row>
    <row r="30" spans="1:11" x14ac:dyDescent="0.15">
      <c r="A30" s="9" t="s">
        <v>0</v>
      </c>
      <c r="B30" s="12">
        <f t="shared" ref="B30:G30" si="2">SUM(B2:B8)</f>
        <v>330000</v>
      </c>
      <c r="C30" s="12">
        <f t="shared" si="2"/>
        <v>280000</v>
      </c>
      <c r="D30" s="12">
        <f t="shared" si="2"/>
        <v>360000</v>
      </c>
      <c r="E30" s="12">
        <f t="shared" si="2"/>
        <v>440000</v>
      </c>
      <c r="F30" s="12">
        <f t="shared" si="2"/>
        <v>430000</v>
      </c>
      <c r="G30" s="12">
        <f t="shared" si="2"/>
        <v>230000</v>
      </c>
    </row>
    <row r="31" spans="1:11" x14ac:dyDescent="0.15">
      <c r="A31" s="9" t="s">
        <v>1</v>
      </c>
      <c r="B31" s="12">
        <f>SUM(B11:B17)</f>
        <v>320000</v>
      </c>
      <c r="C31" s="12">
        <f>SUM(C11:C17)</f>
        <v>330000</v>
      </c>
      <c r="D31" s="12">
        <f>SUM(D11:D17)</f>
        <v>380000</v>
      </c>
      <c r="E31" s="12">
        <f>SUM(E11:E17)</f>
        <v>390000</v>
      </c>
      <c r="F31" s="14"/>
      <c r="G31" s="14"/>
    </row>
    <row r="32" spans="1:11" x14ac:dyDescent="0.15">
      <c r="A32" s="9" t="s">
        <v>2</v>
      </c>
      <c r="B32" s="12">
        <f>SUM(B20:B26)</f>
        <v>310000</v>
      </c>
      <c r="C32" s="12">
        <f t="shared" ref="C32:E32" si="3">SUM(C20:C26)</f>
        <v>290000</v>
      </c>
      <c r="D32" s="12">
        <f t="shared" si="3"/>
        <v>340000</v>
      </c>
      <c r="E32" s="12">
        <f t="shared" si="3"/>
        <v>370000</v>
      </c>
      <c r="F32" s="14"/>
      <c r="G32" s="14"/>
    </row>
    <row r="33" spans="1:7" x14ac:dyDescent="0.15">
      <c r="A33" s="15" t="s">
        <v>54</v>
      </c>
    </row>
    <row r="34" spans="1:7" x14ac:dyDescent="0.15">
      <c r="A34" s="9" t="s">
        <v>0</v>
      </c>
      <c r="B34" s="16">
        <f>B30</f>
        <v>330000</v>
      </c>
      <c r="C34" s="16">
        <f>C30+B34</f>
        <v>610000</v>
      </c>
      <c r="D34" s="16">
        <f t="shared" ref="D34:G34" si="4">D30+C34</f>
        <v>970000</v>
      </c>
      <c r="E34" s="16">
        <f t="shared" si="4"/>
        <v>1410000</v>
      </c>
      <c r="F34" s="16">
        <f t="shared" si="4"/>
        <v>1840000</v>
      </c>
      <c r="G34" s="16">
        <f t="shared" si="4"/>
        <v>2070000</v>
      </c>
    </row>
    <row r="35" spans="1:7" x14ac:dyDescent="0.15">
      <c r="A35" s="9" t="s">
        <v>1</v>
      </c>
      <c r="B35" s="16">
        <f t="shared" ref="B35:B36" si="5">B31</f>
        <v>320000</v>
      </c>
      <c r="C35" s="16">
        <f t="shared" ref="C35:E35" si="6">C31+B35</f>
        <v>650000</v>
      </c>
      <c r="D35" s="16">
        <f t="shared" si="6"/>
        <v>1030000</v>
      </c>
      <c r="E35" s="16">
        <f t="shared" si="6"/>
        <v>1420000</v>
      </c>
      <c r="F35" s="16"/>
      <c r="G35" s="16"/>
    </row>
    <row r="36" spans="1:7" x14ac:dyDescent="0.15">
      <c r="A36" s="9" t="s">
        <v>2</v>
      </c>
      <c r="B36" s="16">
        <f t="shared" si="5"/>
        <v>310000</v>
      </c>
      <c r="C36" s="16">
        <f t="shared" ref="C36:E36" si="7">C32+B36</f>
        <v>600000</v>
      </c>
      <c r="D36" s="16">
        <f t="shared" si="7"/>
        <v>940000</v>
      </c>
      <c r="E36" s="16">
        <f t="shared" si="7"/>
        <v>1310000</v>
      </c>
      <c r="F36" s="16"/>
      <c r="G36" s="16"/>
    </row>
    <row r="38" spans="1:7" x14ac:dyDescent="0.15">
      <c r="A38" s="17" t="s">
        <v>3</v>
      </c>
      <c r="B38" s="18">
        <f>B36/B35</f>
        <v>0.96875</v>
      </c>
      <c r="C38" s="18">
        <f>C36/C35</f>
        <v>0.92307692307692313</v>
      </c>
      <c r="D38" s="18">
        <f>D36/D35</f>
        <v>0.91262135922330101</v>
      </c>
      <c r="E38" s="18">
        <f>E36/E35</f>
        <v>0.92253521126760563</v>
      </c>
    </row>
    <row r="40" spans="1:7" x14ac:dyDescent="0.15">
      <c r="A40" s="43" t="s">
        <v>12</v>
      </c>
    </row>
    <row r="41" spans="1:7" x14ac:dyDescent="0.15">
      <c r="A41" s="9" t="s">
        <v>0</v>
      </c>
      <c r="B41" s="16">
        <f>SUM(B2:B5)</f>
        <v>200000</v>
      </c>
      <c r="C41" s="16">
        <f>SUM(C2:C5)+B41</f>
        <v>340000</v>
      </c>
      <c r="D41" s="16">
        <f t="shared" ref="D41:G41" si="8">SUM(D2:D5)+C41</f>
        <v>540000</v>
      </c>
      <c r="E41" s="16">
        <f t="shared" si="8"/>
        <v>800000</v>
      </c>
      <c r="F41" s="16">
        <f t="shared" si="8"/>
        <v>1000000</v>
      </c>
      <c r="G41" s="16">
        <f t="shared" si="8"/>
        <v>1100000</v>
      </c>
    </row>
    <row r="42" spans="1:7" x14ac:dyDescent="0.15">
      <c r="A42" s="9" t="s">
        <v>2</v>
      </c>
      <c r="B42" s="16">
        <f>SUM(B20:B23)</f>
        <v>180000</v>
      </c>
      <c r="C42" s="16">
        <f>SUM(C20:C23)+B42</f>
        <v>330000</v>
      </c>
      <c r="D42" s="16">
        <f t="shared" ref="D42:E42" si="9">SUM(D20:D23)+C42</f>
        <v>510000</v>
      </c>
      <c r="E42" s="16">
        <f t="shared" si="9"/>
        <v>700000</v>
      </c>
      <c r="F42" s="16"/>
      <c r="G42" s="16"/>
    </row>
    <row r="44" spans="1:7" x14ac:dyDescent="0.15">
      <c r="A44" s="17" t="s">
        <v>4</v>
      </c>
      <c r="B44" s="18">
        <f>B42/B41</f>
        <v>0.9</v>
      </c>
      <c r="C44" s="18">
        <f t="shared" ref="C44:E44" si="10">C42/C41</f>
        <v>0.97058823529411764</v>
      </c>
      <c r="D44" s="18">
        <f t="shared" si="10"/>
        <v>0.94444444444444442</v>
      </c>
      <c r="E44" s="18">
        <f t="shared" si="10"/>
        <v>0.875</v>
      </c>
    </row>
    <row r="45" spans="1:7" x14ac:dyDescent="0.15">
      <c r="A45" s="17" t="s">
        <v>5</v>
      </c>
      <c r="B45" s="18"/>
      <c r="C45" s="18">
        <f>(B29+(C42-B41)/(C41-B41))/C29</f>
        <v>0.9642857142857143</v>
      </c>
      <c r="D45" s="18">
        <f t="shared" ref="D45:E45" si="11">(C29+(D42-C41)/(D41-C41))/D29</f>
        <v>0.95000000000000007</v>
      </c>
      <c r="E45" s="18">
        <f t="shared" si="11"/>
        <v>0.90384615384615385</v>
      </c>
    </row>
    <row r="48" spans="1:7" x14ac:dyDescent="0.15">
      <c r="A48" s="44" t="s">
        <v>61</v>
      </c>
      <c r="B48" s="18"/>
    </row>
    <row r="49" spans="1:9" x14ac:dyDescent="0.15">
      <c r="A49" s="37" t="s">
        <v>94</v>
      </c>
    </row>
    <row r="50" spans="1:9" x14ac:dyDescent="0.15">
      <c r="A50" s="38">
        <f>G41/(E38*E45)+SUM(B6:G8)</f>
        <v>2289213.9028747771</v>
      </c>
      <c r="B50" s="10" t="s">
        <v>95</v>
      </c>
    </row>
    <row r="51" spans="1:9" x14ac:dyDescent="0.15">
      <c r="A51" s="39" t="s">
        <v>60</v>
      </c>
    </row>
    <row r="52" spans="1:9" x14ac:dyDescent="0.15">
      <c r="A52" s="42">
        <f>SUM(J20:J26)</f>
        <v>2474218.75</v>
      </c>
    </row>
    <row r="53" spans="1:9" x14ac:dyDescent="0.15">
      <c r="A53" s="44" t="s">
        <v>96</v>
      </c>
      <c r="F53" s="44" t="s">
        <v>97</v>
      </c>
    </row>
    <row r="54" spans="1:9" x14ac:dyDescent="0.15">
      <c r="A54" s="10" t="s">
        <v>62</v>
      </c>
      <c r="B54" s="45">
        <f>6/E45</f>
        <v>6.6382978723404253</v>
      </c>
      <c r="F54" s="10" t="s">
        <v>62</v>
      </c>
      <c r="G54" s="45">
        <f>3+K22+1</f>
        <v>7.25</v>
      </c>
    </row>
    <row r="55" spans="1:9" x14ac:dyDescent="0.15">
      <c r="B55" s="45"/>
      <c r="C55" s="41"/>
      <c r="D55" s="45"/>
      <c r="G55" s="45"/>
      <c r="H55" s="41"/>
      <c r="I55" s="45"/>
    </row>
    <row r="56" spans="1:9" x14ac:dyDescent="0.15">
      <c r="A56" s="10" t="s">
        <v>63</v>
      </c>
      <c r="D56" s="45">
        <f>G34/E38</f>
        <v>2243816.7938931296</v>
      </c>
      <c r="I56" s="45">
        <f>D56</f>
        <v>2243816.7938931296</v>
      </c>
    </row>
    <row r="57" spans="1:9" x14ac:dyDescent="0.15">
      <c r="A57" s="10" t="s">
        <v>64</v>
      </c>
      <c r="B57" s="45">
        <f>B54-6</f>
        <v>0.63829787234042534</v>
      </c>
      <c r="C57" s="41">
        <v>300000</v>
      </c>
      <c r="D57" s="47">
        <f>B57*C57</f>
        <v>191489.36170212761</v>
      </c>
      <c r="G57" s="45">
        <f>G54-6</f>
        <v>1.25</v>
      </c>
      <c r="H57" s="41">
        <v>300000</v>
      </c>
      <c r="I57" s="47">
        <f>G57*H57</f>
        <v>375000</v>
      </c>
    </row>
    <row r="58" spans="1:9" x14ac:dyDescent="0.15">
      <c r="D58" s="46">
        <f>SUM(D55:D57)</f>
        <v>2435306.1555952569</v>
      </c>
      <c r="I58" s="46">
        <f>SUM(I55:I57)</f>
        <v>2618816.7938931296</v>
      </c>
    </row>
    <row r="59" spans="1:9" x14ac:dyDescent="0.15">
      <c r="A59" s="10" t="s">
        <v>98</v>
      </c>
    </row>
    <row r="60" spans="1:9" x14ac:dyDescent="0.15">
      <c r="A60" s="10" t="s">
        <v>99</v>
      </c>
    </row>
  </sheetData>
  <phoneticPr fontId="6" type="noConversion"/>
  <pageMargins left="0.75000000000000011" right="0.75000000000000011" top="1" bottom="1" header="0.5" footer="0.5"/>
  <pageSetup paperSize="9" scale="62" orientation="landscape" horizontalDpi="4294967292" verticalDpi="4294967292"/>
  <rowBreaks count="1" manualBreakCount="1">
    <brk id="60" max="16383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2" sqref="C12"/>
    </sheetView>
  </sheetViews>
  <sheetFormatPr baseColWidth="10" defaultRowHeight="16" x14ac:dyDescent="0.2"/>
  <cols>
    <col min="1" max="1" width="23.83203125" customWidth="1"/>
    <col min="3" max="3" width="13.33203125" bestFit="1" customWidth="1"/>
    <col min="5" max="5" width="28.5" customWidth="1"/>
  </cols>
  <sheetData>
    <row r="1" spans="1:8" ht="43" thickBot="1" x14ac:dyDescent="0.25">
      <c r="A1" s="19" t="s">
        <v>13</v>
      </c>
      <c r="B1" s="20" t="s">
        <v>14</v>
      </c>
      <c r="C1" s="20" t="s">
        <v>15</v>
      </c>
      <c r="D1" s="20" t="s">
        <v>16</v>
      </c>
      <c r="E1" s="21" t="s">
        <v>17</v>
      </c>
      <c r="F1" s="25" t="s">
        <v>28</v>
      </c>
      <c r="G1" s="25" t="s">
        <v>29</v>
      </c>
      <c r="H1" s="25" t="s">
        <v>30</v>
      </c>
    </row>
    <row r="2" spans="1:8" ht="17" thickBot="1" x14ac:dyDescent="0.25">
      <c r="A2" s="22" t="s">
        <v>18</v>
      </c>
      <c r="B2" s="23">
        <v>4</v>
      </c>
      <c r="C2" s="23">
        <v>8</v>
      </c>
      <c r="D2" s="23">
        <v>12</v>
      </c>
      <c r="E2" s="24"/>
      <c r="F2" s="1">
        <f>(B2+4*C2+D2)/6</f>
        <v>8</v>
      </c>
      <c r="G2" s="1">
        <f>(D2-B2)/6</f>
        <v>1.3333333333333333</v>
      </c>
      <c r="H2" s="1">
        <f>G2^2</f>
        <v>1.7777777777777777</v>
      </c>
    </row>
    <row r="3" spans="1:8" ht="17" thickBot="1" x14ac:dyDescent="0.25">
      <c r="A3" s="22" t="s">
        <v>19</v>
      </c>
      <c r="B3" s="23">
        <v>9</v>
      </c>
      <c r="C3" s="23">
        <v>12</v>
      </c>
      <c r="D3" s="23">
        <v>18</v>
      </c>
      <c r="E3" s="24" t="s">
        <v>20</v>
      </c>
      <c r="F3" s="1">
        <f t="shared" ref="F3:F7" si="0">(B3+4*C3+D3)/6</f>
        <v>12.5</v>
      </c>
      <c r="G3" s="1">
        <f t="shared" ref="G3:G7" si="1">(D3-B3)/6</f>
        <v>1.5</v>
      </c>
      <c r="H3" s="1">
        <f t="shared" ref="H3:H7" si="2">G3^2</f>
        <v>2.25</v>
      </c>
    </row>
    <row r="4" spans="1:8" ht="17" thickBot="1" x14ac:dyDescent="0.25">
      <c r="A4" s="22" t="s">
        <v>21</v>
      </c>
      <c r="B4" s="23">
        <v>24</v>
      </c>
      <c r="C4" s="23">
        <v>26</v>
      </c>
      <c r="D4" s="23">
        <v>40</v>
      </c>
      <c r="E4" s="24" t="s">
        <v>20</v>
      </c>
      <c r="F4" s="1">
        <f t="shared" si="0"/>
        <v>28</v>
      </c>
      <c r="G4" s="1">
        <f t="shared" si="1"/>
        <v>2.6666666666666665</v>
      </c>
      <c r="H4" s="1">
        <f t="shared" si="2"/>
        <v>7.1111111111111107</v>
      </c>
    </row>
    <row r="5" spans="1:8" ht="17" thickBot="1" x14ac:dyDescent="0.25">
      <c r="A5" s="22" t="s">
        <v>22</v>
      </c>
      <c r="B5" s="23">
        <v>12</v>
      </c>
      <c r="C5" s="23">
        <v>14</v>
      </c>
      <c r="D5" s="23">
        <v>22</v>
      </c>
      <c r="E5" s="24" t="s">
        <v>23</v>
      </c>
      <c r="F5" s="1">
        <f t="shared" si="0"/>
        <v>15</v>
      </c>
      <c r="G5" s="1">
        <f t="shared" si="1"/>
        <v>1.6666666666666667</v>
      </c>
      <c r="H5" s="1">
        <f t="shared" si="2"/>
        <v>2.7777777777777781</v>
      </c>
    </row>
    <row r="6" spans="1:8" ht="17" thickBot="1" x14ac:dyDescent="0.25">
      <c r="A6" s="22" t="s">
        <v>24</v>
      </c>
      <c r="B6" s="23">
        <v>12</v>
      </c>
      <c r="C6" s="23">
        <v>16</v>
      </c>
      <c r="D6" s="23">
        <v>20</v>
      </c>
      <c r="E6" s="24" t="s">
        <v>25</v>
      </c>
      <c r="F6" s="1">
        <f t="shared" si="0"/>
        <v>16</v>
      </c>
      <c r="G6" s="1">
        <f t="shared" si="1"/>
        <v>1.3333333333333333</v>
      </c>
      <c r="H6" s="1">
        <f t="shared" si="2"/>
        <v>1.7777777777777777</v>
      </c>
    </row>
    <row r="7" spans="1:8" ht="17" thickBot="1" x14ac:dyDescent="0.25">
      <c r="A7" s="22" t="s">
        <v>26</v>
      </c>
      <c r="B7" s="23">
        <v>3</v>
      </c>
      <c r="C7" s="23">
        <v>4</v>
      </c>
      <c r="D7" s="23">
        <v>8</v>
      </c>
      <c r="E7" s="24" t="s">
        <v>27</v>
      </c>
      <c r="F7" s="1">
        <f t="shared" si="0"/>
        <v>4.5</v>
      </c>
      <c r="G7" s="1">
        <f t="shared" si="1"/>
        <v>0.83333333333333337</v>
      </c>
      <c r="H7" s="1">
        <f t="shared" si="2"/>
        <v>0.69444444444444453</v>
      </c>
    </row>
    <row r="9" spans="1:8" x14ac:dyDescent="0.2">
      <c r="B9" s="26" t="s">
        <v>32</v>
      </c>
      <c r="C9" t="s">
        <v>33</v>
      </c>
    </row>
    <row r="10" spans="1:8" x14ac:dyDescent="0.2">
      <c r="A10" s="26" t="s">
        <v>31</v>
      </c>
      <c r="B10" s="3">
        <f>(58-F10)/G10</f>
        <v>0.4450213587907339</v>
      </c>
      <c r="C10" s="2">
        <v>0.67359999999999998</v>
      </c>
      <c r="F10" s="3">
        <f>F2+F4+F6+F7</f>
        <v>56.5</v>
      </c>
      <c r="G10" s="3">
        <f>H10^(1/2)</f>
        <v>3.3706247360261141</v>
      </c>
      <c r="H10" s="3">
        <f>H2+H4+H6+H7</f>
        <v>11.361111111111112</v>
      </c>
    </row>
    <row r="11" spans="1:8" x14ac:dyDescent="0.2">
      <c r="A11" s="26" t="s">
        <v>34</v>
      </c>
      <c r="B11" s="3">
        <f>(58-F11)/G11</f>
        <v>0.30000000000000004</v>
      </c>
      <c r="C11" s="2">
        <v>0.6179</v>
      </c>
      <c r="F11" s="3">
        <f>F2+F3+F5+F6+F7</f>
        <v>56</v>
      </c>
      <c r="G11" s="3">
        <f t="shared" ref="G11:H11" si="3">G2+G3+G5+G6+G7</f>
        <v>6.6666666666666661</v>
      </c>
      <c r="H11" s="3">
        <f t="shared" si="3"/>
        <v>9.2777777777777768</v>
      </c>
    </row>
    <row r="12" spans="1:8" x14ac:dyDescent="0.2">
      <c r="A12" s="26" t="s">
        <v>35</v>
      </c>
      <c r="C12" s="7">
        <f>C10*C11</f>
        <v>0.41621743999999999</v>
      </c>
    </row>
  </sheetData>
  <phoneticPr fontId="6" type="noConversion"/>
  <pageMargins left="0.75" right="0.75" top="1" bottom="1" header="0.5" footer="0.5"/>
  <pageSetup paperSize="9" scale="67" orientation="portrait" horizontalDpi="4294967292" verticalDpi="4294967292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4"/>
  <sheetViews>
    <sheetView topLeftCell="A9" zoomScale="191" zoomScaleNormal="220" zoomScalePageLayoutView="220" workbookViewId="0">
      <selection activeCell="E13" sqref="E13"/>
    </sheetView>
  </sheetViews>
  <sheetFormatPr baseColWidth="10" defaultRowHeight="16" x14ac:dyDescent="0.2"/>
  <cols>
    <col min="9" max="9" width="16.33203125" bestFit="1" customWidth="1"/>
    <col min="11" max="11" width="15.1640625" bestFit="1" customWidth="1"/>
    <col min="12" max="12" width="16.33203125" bestFit="1" customWidth="1"/>
  </cols>
  <sheetData>
    <row r="1" spans="1:12" ht="43" thickBot="1" x14ac:dyDescent="0.25">
      <c r="A1" s="27" t="s">
        <v>81</v>
      </c>
      <c r="B1" s="28" t="s">
        <v>93</v>
      </c>
      <c r="C1" s="28" t="s">
        <v>91</v>
      </c>
      <c r="D1" s="28" t="s">
        <v>92</v>
      </c>
      <c r="E1" s="30" t="s">
        <v>36</v>
      </c>
      <c r="F1" s="30" t="s">
        <v>29</v>
      </c>
      <c r="G1" s="30" t="s">
        <v>30</v>
      </c>
      <c r="H1" s="30" t="s">
        <v>32</v>
      </c>
      <c r="I1" s="30" t="s">
        <v>33</v>
      </c>
    </row>
    <row r="2" spans="1:12" ht="17" thickBot="1" x14ac:dyDescent="0.25">
      <c r="A2" s="48" t="s">
        <v>65</v>
      </c>
      <c r="B2" s="29">
        <v>5</v>
      </c>
      <c r="C2" s="29">
        <v>11</v>
      </c>
      <c r="D2" s="29">
        <v>11</v>
      </c>
      <c r="E2">
        <f>(B2+4*C2+D2)/6</f>
        <v>10</v>
      </c>
      <c r="F2" s="35">
        <f>(D2-B2)/6</f>
        <v>1</v>
      </c>
      <c r="G2" s="35">
        <f>F2^2</f>
        <v>1</v>
      </c>
    </row>
    <row r="3" spans="1:12" ht="17" thickBot="1" x14ac:dyDescent="0.25">
      <c r="A3" s="49" t="s">
        <v>66</v>
      </c>
      <c r="B3" s="29">
        <v>10</v>
      </c>
      <c r="C3" s="29">
        <v>10</v>
      </c>
      <c r="D3" s="29">
        <v>10</v>
      </c>
      <c r="E3">
        <f t="shared" ref="E3:E11" si="0">(B3+4*C3+D3)/6</f>
        <v>10</v>
      </c>
      <c r="F3" s="35">
        <f t="shared" ref="F3:F11" si="1">(D3-B3)/6</f>
        <v>0</v>
      </c>
      <c r="G3" s="35">
        <f t="shared" ref="G3:G11" si="2">F3^2</f>
        <v>0</v>
      </c>
    </row>
    <row r="4" spans="1:12" ht="17" thickBot="1" x14ac:dyDescent="0.25">
      <c r="A4" s="49" t="s">
        <v>67</v>
      </c>
      <c r="B4" s="29">
        <v>2</v>
      </c>
      <c r="C4" s="29">
        <v>5</v>
      </c>
      <c r="D4" s="29">
        <v>8</v>
      </c>
      <c r="E4">
        <f t="shared" si="0"/>
        <v>5</v>
      </c>
      <c r="F4" s="35">
        <f t="shared" si="1"/>
        <v>1</v>
      </c>
      <c r="G4" s="35">
        <f t="shared" si="2"/>
        <v>1</v>
      </c>
    </row>
    <row r="5" spans="1:12" ht="17" thickBot="1" x14ac:dyDescent="0.25">
      <c r="A5" s="49" t="s">
        <v>68</v>
      </c>
      <c r="B5" s="29">
        <v>1</v>
      </c>
      <c r="C5" s="29">
        <v>7</v>
      </c>
      <c r="D5" s="29">
        <v>13</v>
      </c>
      <c r="E5">
        <f t="shared" si="0"/>
        <v>7</v>
      </c>
      <c r="F5" s="35">
        <f t="shared" si="1"/>
        <v>2</v>
      </c>
      <c r="G5" s="35">
        <f t="shared" si="2"/>
        <v>4</v>
      </c>
    </row>
    <row r="6" spans="1:12" ht="17" thickBot="1" x14ac:dyDescent="0.25">
      <c r="A6" s="49" t="s">
        <v>69</v>
      </c>
      <c r="B6" s="29">
        <v>4</v>
      </c>
      <c r="C6" s="29">
        <v>4</v>
      </c>
      <c r="D6" s="29">
        <v>10</v>
      </c>
      <c r="E6">
        <f t="shared" si="0"/>
        <v>5</v>
      </c>
      <c r="F6" s="35">
        <f t="shared" si="1"/>
        <v>1</v>
      </c>
      <c r="G6" s="35">
        <f t="shared" si="2"/>
        <v>1</v>
      </c>
    </row>
    <row r="7" spans="1:12" ht="17" thickBot="1" x14ac:dyDescent="0.25">
      <c r="A7" s="49" t="s">
        <v>70</v>
      </c>
      <c r="B7" s="29">
        <v>4</v>
      </c>
      <c r="C7" s="29">
        <v>7</v>
      </c>
      <c r="D7" s="29">
        <v>16</v>
      </c>
      <c r="E7">
        <f t="shared" si="0"/>
        <v>8</v>
      </c>
      <c r="F7" s="35">
        <f t="shared" si="1"/>
        <v>2</v>
      </c>
      <c r="G7" s="35">
        <f t="shared" si="2"/>
        <v>4</v>
      </c>
    </row>
    <row r="8" spans="1:12" ht="17" thickBot="1" x14ac:dyDescent="0.25">
      <c r="A8" s="49" t="s">
        <v>71</v>
      </c>
      <c r="B8" s="29">
        <v>2</v>
      </c>
      <c r="C8" s="29">
        <v>2</v>
      </c>
      <c r="D8" s="29">
        <v>14</v>
      </c>
      <c r="E8">
        <f t="shared" si="0"/>
        <v>4</v>
      </c>
      <c r="F8" s="35">
        <f t="shared" si="1"/>
        <v>2</v>
      </c>
      <c r="G8" s="35">
        <f t="shared" si="2"/>
        <v>4</v>
      </c>
    </row>
    <row r="9" spans="1:12" ht="17" thickBot="1" x14ac:dyDescent="0.25">
      <c r="A9" s="49" t="s">
        <v>72</v>
      </c>
      <c r="B9" s="29">
        <v>0</v>
      </c>
      <c r="C9" s="29">
        <v>6</v>
      </c>
      <c r="D9" s="29">
        <v>12</v>
      </c>
      <c r="E9">
        <f t="shared" si="0"/>
        <v>6</v>
      </c>
      <c r="F9" s="35">
        <f t="shared" si="1"/>
        <v>2</v>
      </c>
      <c r="G9" s="35">
        <f t="shared" si="2"/>
        <v>4</v>
      </c>
    </row>
    <row r="10" spans="1:12" ht="17" thickBot="1" x14ac:dyDescent="0.25">
      <c r="A10" s="49" t="s">
        <v>73</v>
      </c>
      <c r="B10" s="29">
        <v>2</v>
      </c>
      <c r="C10" s="29">
        <v>8</v>
      </c>
      <c r="D10" s="29">
        <v>14</v>
      </c>
      <c r="E10">
        <f t="shared" si="0"/>
        <v>8</v>
      </c>
      <c r="F10" s="35">
        <f t="shared" si="1"/>
        <v>2</v>
      </c>
      <c r="G10" s="35">
        <f t="shared" si="2"/>
        <v>4</v>
      </c>
    </row>
    <row r="11" spans="1:12" ht="17" thickBot="1" x14ac:dyDescent="0.25">
      <c r="A11" s="49" t="s">
        <v>74</v>
      </c>
      <c r="B11" s="29">
        <v>1</v>
      </c>
      <c r="C11" s="29">
        <v>4</v>
      </c>
      <c r="D11" s="29">
        <v>7</v>
      </c>
      <c r="E11">
        <f t="shared" si="0"/>
        <v>4</v>
      </c>
      <c r="F11" s="35">
        <f t="shared" si="1"/>
        <v>1</v>
      </c>
      <c r="G11" s="35">
        <f t="shared" si="2"/>
        <v>1</v>
      </c>
    </row>
    <row r="12" spans="1:12" x14ac:dyDescent="0.2">
      <c r="H12">
        <v>20</v>
      </c>
      <c r="I12" t="s">
        <v>41</v>
      </c>
      <c r="J12">
        <v>23</v>
      </c>
      <c r="K12" t="s">
        <v>40</v>
      </c>
      <c r="L12" s="34" t="s">
        <v>41</v>
      </c>
    </row>
    <row r="13" spans="1:12" s="50" customFormat="1" x14ac:dyDescent="0.2">
      <c r="A13" s="50" t="s">
        <v>37</v>
      </c>
      <c r="B13" s="50" t="s">
        <v>75</v>
      </c>
      <c r="E13" s="50">
        <f>E2+E5+E11</f>
        <v>21</v>
      </c>
      <c r="F13" s="51">
        <f>G13^(1/2)</f>
        <v>2.4494897427831779</v>
      </c>
      <c r="G13" s="50">
        <f t="shared" ref="G13" si="3">G2+G5+G11</f>
        <v>6</v>
      </c>
      <c r="H13" s="52">
        <f>($H$12-E13)/F13</f>
        <v>-0.40824829046386307</v>
      </c>
      <c r="I13" s="36">
        <f>1-65%</f>
        <v>0.35</v>
      </c>
      <c r="J13" s="51">
        <f>($J$12-E13)/F13</f>
        <v>0.81649658092772615</v>
      </c>
      <c r="K13" s="36">
        <f t="shared" ref="K13:K17" si="4">1-L13</f>
        <v>0.20999999999999996</v>
      </c>
      <c r="L13" s="36">
        <v>0.79</v>
      </c>
    </row>
    <row r="14" spans="1:12" x14ac:dyDescent="0.2">
      <c r="A14" t="s">
        <v>38</v>
      </c>
      <c r="B14" t="s">
        <v>47</v>
      </c>
      <c r="E14">
        <f>E3+E6+E11</f>
        <v>19</v>
      </c>
      <c r="F14" s="1">
        <f>G14^(1/2)</f>
        <v>1.4142135623730951</v>
      </c>
      <c r="G14">
        <f t="shared" ref="G14" si="5">G3+G6+G11</f>
        <v>2</v>
      </c>
      <c r="H14" s="52">
        <f t="shared" ref="H14:H15" si="6">($H$12-E14)/F14</f>
        <v>0.70710678118654746</v>
      </c>
      <c r="I14" s="2">
        <f>76%</f>
        <v>0.76</v>
      </c>
      <c r="J14" s="51">
        <f t="shared" ref="J14:J15" si="7">($J$12-E14)/F14</f>
        <v>2.8284271247461898</v>
      </c>
      <c r="K14" s="2">
        <f t="shared" si="4"/>
        <v>1.0000000000000009E-2</v>
      </c>
      <c r="L14" s="2">
        <v>0.99</v>
      </c>
    </row>
    <row r="15" spans="1:12" x14ac:dyDescent="0.2">
      <c r="A15" s="53" t="s">
        <v>76</v>
      </c>
      <c r="B15" t="s">
        <v>48</v>
      </c>
      <c r="E15">
        <f>E3+E7</f>
        <v>18</v>
      </c>
      <c r="F15" s="1">
        <f>G15^(1/2)</f>
        <v>2</v>
      </c>
      <c r="G15">
        <f>G3+G7</f>
        <v>4</v>
      </c>
      <c r="H15" s="52">
        <f t="shared" si="6"/>
        <v>1</v>
      </c>
      <c r="I15" s="2">
        <v>0.84</v>
      </c>
      <c r="J15" s="51">
        <f t="shared" si="7"/>
        <v>2.5</v>
      </c>
      <c r="K15" s="2">
        <f t="shared" si="4"/>
        <v>1.0000000000000009E-2</v>
      </c>
      <c r="L15" s="2">
        <v>0.99</v>
      </c>
    </row>
    <row r="16" spans="1:12" s="5" customFormat="1" x14ac:dyDescent="0.2">
      <c r="A16" s="5" t="s">
        <v>39</v>
      </c>
      <c r="B16" s="5" t="s">
        <v>77</v>
      </c>
      <c r="E16" s="5">
        <f>E3+E8+E10</f>
        <v>22</v>
      </c>
      <c r="F16" s="6">
        <f t="shared" ref="F16" si="8">G16^(1/2)</f>
        <v>2.8284271247461903</v>
      </c>
      <c r="G16" s="5">
        <f>G3+G8+G10</f>
        <v>8</v>
      </c>
      <c r="H16" s="32">
        <f t="shared" ref="H16" si="9">($H$12-E16)/F16</f>
        <v>-0.70710678118654746</v>
      </c>
      <c r="I16" s="31">
        <v>0.25</v>
      </c>
      <c r="J16" s="6">
        <f t="shared" ref="J16" si="10">($J$12-E16)/F16</f>
        <v>0.35355339059327373</v>
      </c>
      <c r="K16" s="31">
        <f>1-L16</f>
        <v>0.36</v>
      </c>
      <c r="L16" s="31">
        <v>0.64</v>
      </c>
    </row>
    <row r="17" spans="1:12" x14ac:dyDescent="0.2">
      <c r="A17" s="54" t="s">
        <v>78</v>
      </c>
      <c r="B17" t="s">
        <v>79</v>
      </c>
      <c r="E17">
        <f>E4+E9+E10</f>
        <v>19</v>
      </c>
      <c r="F17" s="1">
        <f>G17^(1/2)</f>
        <v>3</v>
      </c>
      <c r="G17">
        <f>G4+G9+G10</f>
        <v>9</v>
      </c>
      <c r="H17" s="52">
        <f>($H$12-E17)/F17</f>
        <v>0.33333333333333331</v>
      </c>
      <c r="I17" s="2">
        <v>0.63</v>
      </c>
      <c r="J17" s="51">
        <f>($J$12-E17)/F17</f>
        <v>1.3333333333333333</v>
      </c>
      <c r="K17" s="2">
        <f t="shared" si="4"/>
        <v>8.9999999999999969E-2</v>
      </c>
      <c r="L17" s="2">
        <v>0.91</v>
      </c>
    </row>
    <row r="18" spans="1:12" x14ac:dyDescent="0.2">
      <c r="F18" s="1"/>
      <c r="H18" s="33"/>
      <c r="I18" s="2"/>
      <c r="J18" s="1"/>
      <c r="K18" s="2"/>
      <c r="L18" s="2"/>
    </row>
    <row r="19" spans="1:12" x14ac:dyDescent="0.2">
      <c r="H19" s="55" t="s">
        <v>80</v>
      </c>
      <c r="I19" s="4">
        <f>I13*I14*I15*I16*I17</f>
        <v>3.5191799999999988E-2</v>
      </c>
      <c r="K19" s="56">
        <f>1-(L13*L14*L16*L15*L17)</f>
        <v>0.54905991040000002</v>
      </c>
      <c r="L19" s="4">
        <f>L13*L14*L16</f>
        <v>0.50054399999999999</v>
      </c>
    </row>
    <row r="20" spans="1:12" x14ac:dyDescent="0.2">
      <c r="A20" t="s">
        <v>82</v>
      </c>
    </row>
    <row r="21" spans="1:12" x14ac:dyDescent="0.2">
      <c r="A21" t="s">
        <v>83</v>
      </c>
    </row>
    <row r="22" spans="1:12" x14ac:dyDescent="0.2">
      <c r="A22" t="s">
        <v>84</v>
      </c>
      <c r="B22" t="s">
        <v>43</v>
      </c>
      <c r="C22" t="s">
        <v>85</v>
      </c>
      <c r="D22" t="s">
        <v>86</v>
      </c>
    </row>
    <row r="23" spans="1:12" x14ac:dyDescent="0.2">
      <c r="A23" t="s">
        <v>42</v>
      </c>
      <c r="B23">
        <v>25</v>
      </c>
      <c r="C23" s="2">
        <f>I16</f>
        <v>0.25</v>
      </c>
      <c r="D23">
        <v>1</v>
      </c>
    </row>
    <row r="24" spans="1:12" x14ac:dyDescent="0.2">
      <c r="A24" t="s">
        <v>44</v>
      </c>
      <c r="B24">
        <v>0</v>
      </c>
      <c r="C24" s="2">
        <f>1-C23-C25</f>
        <v>0.39</v>
      </c>
      <c r="D24">
        <v>1</v>
      </c>
    </row>
    <row r="25" spans="1:12" x14ac:dyDescent="0.2">
      <c r="A25" t="s">
        <v>45</v>
      </c>
      <c r="B25">
        <v>-5</v>
      </c>
      <c r="C25" s="2">
        <f>K16</f>
        <v>0.36</v>
      </c>
      <c r="D25">
        <v>1</v>
      </c>
    </row>
    <row r="26" spans="1:12" x14ac:dyDescent="0.2">
      <c r="A26" t="s">
        <v>88</v>
      </c>
      <c r="B26" s="1">
        <f>B23*C23+B24*C24+B25*C25</f>
        <v>4.45</v>
      </c>
      <c r="C26" t="s">
        <v>46</v>
      </c>
      <c r="D26" t="s">
        <v>87</v>
      </c>
    </row>
    <row r="28" spans="1:12" x14ac:dyDescent="0.2">
      <c r="A28" t="s">
        <v>90</v>
      </c>
    </row>
    <row r="29" spans="1:12" x14ac:dyDescent="0.2">
      <c r="A29" t="s">
        <v>83</v>
      </c>
    </row>
    <row r="30" spans="1:12" x14ac:dyDescent="0.2">
      <c r="A30" t="s">
        <v>84</v>
      </c>
      <c r="B30" t="s">
        <v>43</v>
      </c>
      <c r="C30" t="s">
        <v>85</v>
      </c>
      <c r="D30" t="s">
        <v>86</v>
      </c>
    </row>
    <row r="31" spans="1:12" x14ac:dyDescent="0.2">
      <c r="A31" t="s">
        <v>42</v>
      </c>
      <c r="B31">
        <f>B23</f>
        <v>25</v>
      </c>
      <c r="C31" s="2">
        <f>I19</f>
        <v>3.5191799999999988E-2</v>
      </c>
      <c r="D31">
        <v>1</v>
      </c>
    </row>
    <row r="32" spans="1:12" x14ac:dyDescent="0.2">
      <c r="A32" t="s">
        <v>44</v>
      </c>
      <c r="B32">
        <f t="shared" ref="B32" si="11">B24</f>
        <v>0</v>
      </c>
      <c r="C32" s="2">
        <f>1-C31-C33</f>
        <v>0.41574828959999999</v>
      </c>
      <c r="D32">
        <v>1</v>
      </c>
    </row>
    <row r="33" spans="1:4" x14ac:dyDescent="0.2">
      <c r="A33" t="s">
        <v>45</v>
      </c>
      <c r="B33">
        <v>-5</v>
      </c>
      <c r="C33" s="2">
        <f>K19</f>
        <v>0.54905991040000002</v>
      </c>
      <c r="D33">
        <v>1</v>
      </c>
    </row>
    <row r="34" spans="1:4" x14ac:dyDescent="0.2">
      <c r="A34" t="s">
        <v>88</v>
      </c>
      <c r="B34" s="1">
        <f>B31*C31+B32*C32+B33*C33</f>
        <v>-1.8655045520000004</v>
      </c>
      <c r="C34" t="s">
        <v>49</v>
      </c>
      <c r="D34" t="s">
        <v>89</v>
      </c>
    </row>
  </sheetData>
  <phoneticPr fontId="6" type="noConversion"/>
  <pageMargins left="0.75000000000000011" right="0.75000000000000011" top="1" bottom="1" header="0.5" footer="0.5"/>
  <pageSetup paperSize="9" scale="82" orientation="landscape" horizontalDpi="4294967292" verticalDpi="4294967292"/>
  <colBreaks count="1" manualBreakCount="1">
    <brk id="1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E3CBB5-F63E-471C-91DB-B022143A7DC7}"/>
</file>

<file path=customXml/itemProps2.xml><?xml version="1.0" encoding="utf-8"?>
<ds:datastoreItem xmlns:ds="http://schemas.openxmlformats.org/officeDocument/2006/customXml" ds:itemID="{635383FF-22CA-4E10-B58C-E9E022A788CA}"/>
</file>

<file path=customXml/itemProps3.xml><?xml version="1.0" encoding="utf-8"?>
<ds:datastoreItem xmlns:ds="http://schemas.openxmlformats.org/officeDocument/2006/customXml" ds:itemID="{24EFACD5-A957-4B12-A8A4-388A4570C3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4</vt:lpstr>
    </vt:vector>
  </TitlesOfParts>
  <Company>Politecnico di Torino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Microsoft Office User</cp:lastModifiedBy>
  <cp:lastPrinted>2015-03-04T09:09:28Z</cp:lastPrinted>
  <dcterms:created xsi:type="dcterms:W3CDTF">2015-02-02T08:52:43Z</dcterms:created>
  <dcterms:modified xsi:type="dcterms:W3CDTF">2016-01-22T11:04:57Z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