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/>
  <mc:AlternateContent xmlns:mc="http://schemas.openxmlformats.org/markup-compatibility/2006">
    <mc:Choice Requires="x15">
      <x15ac:absPath xmlns:x15ac="http://schemas.microsoft.com/office/spreadsheetml/2010/11/ac" url="/Users/albertodemarco/Dropbox/1-Politecnico/Education/EduProjectMng/4-polito_projectmng/Exams/"/>
    </mc:Choice>
  </mc:AlternateContent>
  <bookViews>
    <workbookView xWindow="10040" yWindow="460" windowWidth="21900" windowHeight="13940" tabRatio="500"/>
  </bookViews>
  <sheets>
    <sheet name="1" sheetId="1" r:id="rId1"/>
    <sheet name="2" sheetId="2" r:id="rId2"/>
    <sheet name="3" sheetId="3" r:id="rId3"/>
    <sheet name="3 pdm" sheetId="4" r:id="rId4"/>
  </sheets>
  <definedNames>
    <definedName name="capex">'3 pdm'!$E$6</definedName>
    <definedName name="cd">'3 pdm'!$E$8</definedName>
    <definedName name="cfg">'3 pdm'!$E$9</definedName>
    <definedName name="DSCRg">'3 pdm'!$E$12</definedName>
    <definedName name="nr">'3 pdm'!$E$13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7" i="2" l="1"/>
  <c r="H16" i="2"/>
  <c r="G17" i="2"/>
  <c r="G16" i="2"/>
  <c r="I17" i="2"/>
  <c r="K17" i="2"/>
  <c r="I16" i="2"/>
  <c r="K16" i="2"/>
  <c r="J16" i="2"/>
  <c r="J17" i="2"/>
  <c r="D17" i="2"/>
  <c r="F17" i="2"/>
  <c r="D16" i="2"/>
  <c r="F16" i="2"/>
  <c r="C17" i="2"/>
  <c r="B16" i="2"/>
  <c r="C16" i="2"/>
  <c r="E37" i="4"/>
  <c r="E24" i="4"/>
  <c r="E23" i="4"/>
  <c r="E13" i="4"/>
  <c r="E16" i="4"/>
  <c r="M4" i="4"/>
  <c r="E26" i="4"/>
  <c r="E34" i="4"/>
  <c r="E25" i="4"/>
  <c r="N19" i="3"/>
  <c r="N18" i="3"/>
  <c r="N7" i="3"/>
  <c r="O4" i="3"/>
  <c r="H23" i="3"/>
  <c r="L2" i="1"/>
  <c r="E27" i="4"/>
  <c r="E28" i="4"/>
  <c r="E29" i="4"/>
  <c r="E31" i="4"/>
  <c r="E32" i="4"/>
  <c r="E18" i="4"/>
  <c r="D24" i="3"/>
  <c r="B12" i="3"/>
  <c r="B21" i="3"/>
  <c r="D11" i="2"/>
  <c r="E11" i="2"/>
  <c r="F11" i="2"/>
  <c r="C11" i="2"/>
  <c r="G11" i="2"/>
  <c r="F3" i="2"/>
  <c r="G3" i="2"/>
  <c r="F4" i="2"/>
  <c r="G4" i="2"/>
  <c r="F5" i="2"/>
  <c r="G5" i="2"/>
  <c r="F6" i="2"/>
  <c r="G6" i="2"/>
  <c r="F7" i="2"/>
  <c r="G7" i="2"/>
  <c r="D12" i="2"/>
  <c r="C12" i="2"/>
  <c r="G12" i="2"/>
  <c r="G2" i="2"/>
  <c r="F2" i="2"/>
  <c r="B11" i="2"/>
  <c r="E6" i="1"/>
  <c r="D3" i="1"/>
  <c r="D2" i="1"/>
  <c r="F2" i="1"/>
  <c r="H2" i="1"/>
  <c r="E7" i="1"/>
  <c r="F7" i="1"/>
  <c r="H7" i="1"/>
  <c r="F6" i="1"/>
  <c r="H6" i="1"/>
  <c r="F3" i="1"/>
  <c r="H3" i="1"/>
  <c r="I3" i="1"/>
  <c r="I7" i="1"/>
  <c r="J7" i="1"/>
  <c r="K7" i="1"/>
  <c r="I6" i="1"/>
  <c r="J6" i="1"/>
  <c r="J3" i="1"/>
  <c r="K3" i="1"/>
  <c r="G2" i="1"/>
  <c r="J2" i="1"/>
  <c r="K2" i="1"/>
  <c r="K6" i="1"/>
  <c r="C6" i="1"/>
  <c r="C7" i="1"/>
  <c r="L6" i="1"/>
  <c r="E30" i="4"/>
  <c r="E35" i="4"/>
  <c r="H24" i="3"/>
  <c r="N8" i="3"/>
  <c r="B28" i="3"/>
  <c r="B20" i="3"/>
  <c r="B22" i="3"/>
  <c r="B24" i="3"/>
  <c r="B29" i="3"/>
  <c r="B30" i="3"/>
  <c r="N11" i="3"/>
  <c r="N16" i="3"/>
  <c r="N17" i="3"/>
  <c r="H25" i="3"/>
  <c r="J23" i="3"/>
  <c r="N12" i="3"/>
</calcChain>
</file>

<file path=xl/sharedStrings.xml><?xml version="1.0" encoding="utf-8"?>
<sst xmlns="http://schemas.openxmlformats.org/spreadsheetml/2006/main" count="187" uniqueCount="139">
  <si>
    <t>no mitigation</t>
  </si>
  <si>
    <t>risk</t>
  </si>
  <si>
    <t>no risk</t>
  </si>
  <si>
    <t>d</t>
  </si>
  <si>
    <t>prob</t>
  </si>
  <si>
    <t>price</t>
  </si>
  <si>
    <t>Task</t>
  </si>
  <si>
    <t xml:space="preserve">Immediate Predecessor </t>
  </si>
  <si>
    <t>Duration [months]</t>
  </si>
  <si>
    <r>
      <t>A.</t>
    </r>
    <r>
      <rPr>
        <sz val="7"/>
        <color theme="1"/>
        <rFont val="Times New Roman"/>
      </rPr>
      <t xml:space="preserve">     </t>
    </r>
    <r>
      <rPr>
        <sz val="11"/>
        <color theme="1"/>
        <rFont val="Arial Narrow"/>
      </rPr>
      <t>Basic design and building permits</t>
    </r>
  </si>
  <si>
    <t>-</t>
  </si>
  <si>
    <r>
      <t>B.</t>
    </r>
    <r>
      <rPr>
        <sz val="7"/>
        <color theme="1"/>
        <rFont val="Times New Roman"/>
      </rPr>
      <t xml:space="preserve">     </t>
    </r>
    <r>
      <rPr>
        <sz val="11"/>
        <color theme="1"/>
        <rFont val="Arial Narrow"/>
      </rPr>
      <t>Detailed design</t>
    </r>
  </si>
  <si>
    <t>A</t>
  </si>
  <si>
    <r>
      <t>C.</t>
    </r>
    <r>
      <rPr>
        <sz val="7"/>
        <color theme="1"/>
        <rFont val="Times New Roman"/>
      </rPr>
      <t xml:space="preserve">    </t>
    </r>
    <r>
      <rPr>
        <sz val="11"/>
        <color theme="1"/>
        <rFont val="Arial Narrow"/>
      </rPr>
      <t xml:space="preserve">Procurement of precast building </t>
    </r>
  </si>
  <si>
    <r>
      <t>D.</t>
    </r>
    <r>
      <rPr>
        <sz val="7"/>
        <color theme="1"/>
        <rFont val="Times New Roman"/>
      </rPr>
      <t xml:space="preserve">    </t>
    </r>
    <r>
      <rPr>
        <sz val="11"/>
        <color theme="1"/>
        <rFont val="Arial Narrow"/>
      </rPr>
      <t>Procurement of production equipment</t>
    </r>
  </si>
  <si>
    <t>B</t>
  </si>
  <si>
    <r>
      <t>E.</t>
    </r>
    <r>
      <rPr>
        <sz val="7"/>
        <color theme="1"/>
        <rFont val="Times New Roman"/>
      </rPr>
      <t xml:space="preserve">     </t>
    </r>
    <r>
      <rPr>
        <sz val="11"/>
        <color theme="1"/>
        <rFont val="Arial Narrow"/>
      </rPr>
      <t>Site preparation and foundations</t>
    </r>
  </si>
  <si>
    <r>
      <t>F.</t>
    </r>
    <r>
      <rPr>
        <sz val="7"/>
        <color theme="1"/>
        <rFont val="Times New Roman"/>
      </rPr>
      <t xml:space="preserve">     </t>
    </r>
    <r>
      <rPr>
        <sz val="11"/>
        <color theme="1"/>
        <rFont val="Arial Narrow"/>
      </rPr>
      <t>Precast building erection</t>
    </r>
  </si>
  <si>
    <t>E, C</t>
  </si>
  <si>
    <r>
      <t>G.</t>
    </r>
    <r>
      <rPr>
        <sz val="7"/>
        <color theme="1"/>
        <rFont val="Times New Roman"/>
      </rPr>
      <t xml:space="preserve">    </t>
    </r>
    <r>
      <rPr>
        <sz val="11"/>
        <color theme="1"/>
        <rFont val="Arial Narrow"/>
      </rPr>
      <t>Internal utilities</t>
    </r>
  </si>
  <si>
    <t>F</t>
  </si>
  <si>
    <r>
      <t>H.</t>
    </r>
    <r>
      <rPr>
        <sz val="7"/>
        <color theme="1"/>
        <rFont val="Times New Roman"/>
      </rPr>
      <t xml:space="preserve">    </t>
    </r>
    <r>
      <rPr>
        <sz val="11"/>
        <color theme="1"/>
        <rFont val="Arial Narrow"/>
      </rPr>
      <t>Installation of production line</t>
    </r>
  </si>
  <si>
    <t>B, F, G</t>
  </si>
  <si>
    <r>
      <t>I.</t>
    </r>
    <r>
      <rPr>
        <sz val="7"/>
        <color theme="1"/>
        <rFont val="Times New Roman"/>
      </rPr>
      <t xml:space="preserve">      </t>
    </r>
    <r>
      <rPr>
        <sz val="11"/>
        <color theme="1"/>
        <rFont val="Arial Narrow"/>
      </rPr>
      <t xml:space="preserve">Test </t>
    </r>
  </si>
  <si>
    <t>H</t>
  </si>
  <si>
    <t>direct cost</t>
  </si>
  <si>
    <t>o/h</t>
  </si>
  <si>
    <t>penalty</t>
  </si>
  <si>
    <t>fixed fee</t>
  </si>
  <si>
    <t>profit</t>
  </si>
  <si>
    <t>mitigation</t>
  </si>
  <si>
    <t>overrun share</t>
  </si>
  <si>
    <t>BCWS</t>
  </si>
  <si>
    <t>BCWP</t>
  </si>
  <si>
    <t>ACWP</t>
  </si>
  <si>
    <t>BAC</t>
  </si>
  <si>
    <t>TOTAL</t>
  </si>
  <si>
    <t>9 months into the project</t>
  </si>
  <si>
    <t>CI</t>
  </si>
  <si>
    <t>SI</t>
  </si>
  <si>
    <r>
      <t>A.</t>
    </r>
    <r>
      <rPr>
        <sz val="7"/>
        <color theme="1"/>
        <rFont val="Arial Narrow"/>
      </rPr>
      <t xml:space="preserve">     </t>
    </r>
    <r>
      <rPr>
        <sz val="11"/>
        <color theme="1"/>
        <rFont val="Arial Narrow"/>
      </rPr>
      <t>Basic design and building permits</t>
    </r>
  </si>
  <si>
    <r>
      <t>B.</t>
    </r>
    <r>
      <rPr>
        <sz val="7"/>
        <color theme="1"/>
        <rFont val="Arial Narrow"/>
      </rPr>
      <t xml:space="preserve">     </t>
    </r>
    <r>
      <rPr>
        <sz val="11"/>
        <color theme="1"/>
        <rFont val="Arial Narrow"/>
      </rPr>
      <t>Detailed design</t>
    </r>
  </si>
  <si>
    <r>
      <t>C.</t>
    </r>
    <r>
      <rPr>
        <sz val="7"/>
        <color theme="1"/>
        <rFont val="Arial Narrow"/>
      </rPr>
      <t xml:space="preserve">    </t>
    </r>
    <r>
      <rPr>
        <sz val="11"/>
        <color theme="1"/>
        <rFont val="Arial Narrow"/>
      </rPr>
      <t xml:space="preserve">Procurement of precast building </t>
    </r>
  </si>
  <si>
    <r>
      <t>D.</t>
    </r>
    <r>
      <rPr>
        <sz val="7"/>
        <color theme="1"/>
        <rFont val="Arial Narrow"/>
      </rPr>
      <t xml:space="preserve">    </t>
    </r>
    <r>
      <rPr>
        <sz val="11"/>
        <color theme="1"/>
        <rFont val="Arial Narrow"/>
      </rPr>
      <t>Procurement of production equipment</t>
    </r>
  </si>
  <si>
    <r>
      <t>E.</t>
    </r>
    <r>
      <rPr>
        <sz val="7"/>
        <color theme="1"/>
        <rFont val="Arial Narrow"/>
      </rPr>
      <t xml:space="preserve">     </t>
    </r>
    <r>
      <rPr>
        <sz val="11"/>
        <color theme="1"/>
        <rFont val="Arial Narrow"/>
      </rPr>
      <t>Site preparation and foundations</t>
    </r>
  </si>
  <si>
    <r>
      <t>F.</t>
    </r>
    <r>
      <rPr>
        <sz val="7"/>
        <color theme="1"/>
        <rFont val="Arial Narrow"/>
      </rPr>
      <t xml:space="preserve">     </t>
    </r>
    <r>
      <rPr>
        <sz val="11"/>
        <color theme="1"/>
        <rFont val="Arial Narrow"/>
      </rPr>
      <t>Precast building erection</t>
    </r>
  </si>
  <si>
    <r>
      <t>G.</t>
    </r>
    <r>
      <rPr>
        <sz val="7"/>
        <color theme="1"/>
        <rFont val="Arial Narrow"/>
      </rPr>
      <t xml:space="preserve">    </t>
    </r>
    <r>
      <rPr>
        <sz val="11"/>
        <color theme="1"/>
        <rFont val="Arial Narrow"/>
      </rPr>
      <t>Internal utilities</t>
    </r>
  </si>
  <si>
    <r>
      <t>H.</t>
    </r>
    <r>
      <rPr>
        <sz val="7"/>
        <color theme="1"/>
        <rFont val="Arial Narrow"/>
      </rPr>
      <t xml:space="preserve">    </t>
    </r>
    <r>
      <rPr>
        <sz val="11"/>
        <color theme="1"/>
        <rFont val="Arial Narrow"/>
      </rPr>
      <t>Installation of production line</t>
    </r>
  </si>
  <si>
    <r>
      <t>I.</t>
    </r>
    <r>
      <rPr>
        <sz val="7"/>
        <color theme="1"/>
        <rFont val="Arial Narrow"/>
      </rPr>
      <t xml:space="preserve">      </t>
    </r>
    <r>
      <rPr>
        <sz val="11"/>
        <color theme="1"/>
        <rFont val="Arial Narrow"/>
      </rPr>
      <t xml:space="preserve">Test </t>
    </r>
  </si>
  <si>
    <t>Determine the approximate debt leverage required to finance a 15,000,000€ BOT capital project. The project is supposed to be operated over 24 years, with 1,000,000€ annual expected pre-tax cash flow before repayment of debt to the bank.</t>
  </si>
  <si>
    <t>Assume that cost of equity is 10% and cost of debt 5%. Fell free to make other reasonable financial assumptions, if needed.</t>
  </si>
  <si>
    <t>Ex. 3</t>
  </si>
  <si>
    <t>Capex</t>
  </si>
  <si>
    <t>Ce</t>
  </si>
  <si>
    <t>Cd</t>
  </si>
  <si>
    <t>Hp:</t>
  </si>
  <si>
    <t>(any value from 1.4 to 2.0 is fine)</t>
  </si>
  <si>
    <t>CF pretax</t>
  </si>
  <si>
    <t>Loan repayment period</t>
  </si>
  <si>
    <t>typically debt repayment is over 2/3 of life of concession</t>
  </si>
  <si>
    <t>DSCR pre-tax target</t>
  </si>
  <si>
    <t>Pretax calculation:</t>
  </si>
  <si>
    <t xml:space="preserve">=CF/(principal+interest) </t>
  </si>
  <si>
    <t>worst-case year = year 1 if principal payment constant</t>
  </si>
  <si>
    <t>principal</t>
  </si>
  <si>
    <t>debt</t>
  </si>
  <si>
    <t>unknown variable to be determined</t>
  </si>
  <si>
    <t>interest</t>
  </si>
  <si>
    <t>=outstanding debt*Cd</t>
  </si>
  <si>
    <t>payment</t>
  </si>
  <si>
    <t>DSCR =</t>
  </si>
  <si>
    <t>&gt;</t>
  </si>
  <si>
    <t>Post tax calculation can also be provided, but first tax rate mus be assumed and then tax shield must be computed.</t>
  </si>
  <si>
    <t>Lay out given data</t>
  </si>
  <si>
    <t xml:space="preserve">Assume </t>
  </si>
  <si>
    <t>DSCR</t>
  </si>
  <si>
    <t>a</t>
  </si>
  <si>
    <t>b</t>
  </si>
  <si>
    <t>Pretax calculation</t>
  </si>
  <si>
    <t>ie Bankability</t>
  </si>
  <si>
    <t>c</t>
  </si>
  <si>
    <t>Loan amortization</t>
  </si>
  <si>
    <t>Calculate Debt to Equity</t>
  </si>
  <si>
    <t>Debt</t>
  </si>
  <si>
    <t>Investment</t>
  </si>
  <si>
    <t>Equity</t>
  </si>
  <si>
    <t>D/E</t>
  </si>
  <si>
    <t>Tax rate</t>
  </si>
  <si>
    <t>Tax shield on interest exp</t>
  </si>
  <si>
    <t>Post tax calculation</t>
  </si>
  <si>
    <t>Assume Tax rate</t>
  </si>
  <si>
    <t>Assume Tax shield on interest</t>
  </si>
  <si>
    <t>straightline</t>
  </si>
  <si>
    <t>Calculate post tax DSCR</t>
  </si>
  <si>
    <t>Calculate CF post tax</t>
  </si>
  <si>
    <t>Evaluate post tax DSCR</t>
  </si>
  <si>
    <t>e</t>
  </si>
  <si>
    <t>Calculate Debt based on rate formula (worst case)</t>
  </si>
  <si>
    <t>f</t>
  </si>
  <si>
    <t>Calculate WACC</t>
  </si>
  <si>
    <t>Evaluate post tax DSCR &gt;=</t>
  </si>
  <si>
    <t>nr</t>
  </si>
  <si>
    <t>cfg</t>
  </si>
  <si>
    <t>cd</t>
  </si>
  <si>
    <t>D=cfg/DSCRg/(1/nr+cd)</t>
  </si>
  <si>
    <t>EBITDA</t>
  </si>
  <si>
    <t>=CF</t>
  </si>
  <si>
    <t>Depreciation = Capex / ni</t>
  </si>
  <si>
    <t>Operation</t>
  </si>
  <si>
    <t>ni</t>
  </si>
  <si>
    <t>Interest=D/nr+D*Cd</t>
  </si>
  <si>
    <t>Cost of debt=D/nr+D*Cd</t>
  </si>
  <si>
    <t>EBIT</t>
  </si>
  <si>
    <t>Tax base</t>
  </si>
  <si>
    <t>Pre Tax Profit</t>
  </si>
  <si>
    <t>Calculate Tax shield</t>
  </si>
  <si>
    <t>Tax</t>
  </si>
  <si>
    <t>Net CF</t>
  </si>
  <si>
    <t>Calculate NPV @WACC</t>
  </si>
  <si>
    <t>4b</t>
  </si>
  <si>
    <t>4a</t>
  </si>
  <si>
    <t>SCORE</t>
  </si>
  <si>
    <t>VAN= R*(1+i)*[1-(1+i)^(-n)]/I - Capex</t>
  </si>
  <si>
    <t>g</t>
  </si>
  <si>
    <t>Evaluate investment</t>
  </si>
  <si>
    <t>best decision</t>
  </si>
  <si>
    <t>critical path</t>
  </si>
  <si>
    <t>Option 1 : revise</t>
  </si>
  <si>
    <t>AC</t>
  </si>
  <si>
    <t>O/H</t>
  </si>
  <si>
    <t>FEE</t>
  </si>
  <si>
    <t>SHARE</t>
  </si>
  <si>
    <t>PRICE</t>
  </si>
  <si>
    <t>PROFIT</t>
  </si>
  <si>
    <t>EAC (DIRECT)</t>
  </si>
  <si>
    <t>Option 2: crash</t>
  </si>
  <si>
    <t>profit/price</t>
  </si>
  <si>
    <t>profit/cost</t>
  </si>
  <si>
    <t>TIME PENALTY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</si>
</sst>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_-* #,##0.00\ &quot;€&quot;_-;\-* #,##0.00\ &quot;€&quot;_-;_-* &quot;-&quot;??\ &quot;€&quot;_-;_-@_-"/>
    <numFmt numFmtId="165" formatCode="_-* #,##0.00\ _€_-;\-* #,##0.00\ _€_-;_-* &quot;-&quot;??\ _€_-;_-@_-"/>
    <numFmt numFmtId="166" formatCode="_(* #,##0.00_);_(* \(#,##0.00\);_(* &quot;-&quot;??_);_(@_)"/>
  </numFmts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Arial Narrow"/>
    </font>
    <font>
      <i/>
      <sz val="11"/>
      <color theme="1"/>
      <name val="Arial Narrow"/>
    </font>
    <font>
      <sz val="7"/>
      <color theme="1"/>
      <name val="Times New Roman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7"/>
      <color theme="1"/>
      <name val="Arial Narrow"/>
    </font>
    <font>
      <sz val="12"/>
      <color theme="1"/>
      <name val="Arial Narrow"/>
    </font>
    <font>
      <sz val="12"/>
      <color theme="1"/>
      <name val="Times New Roman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/>
      <right/>
      <top style="thick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2">
    <xf numFmtId="0" fontId="0" fillId="0" borderId="0" xfId="0"/>
    <xf numFmtId="9" fontId="0" fillId="0" borderId="0" xfId="0" applyNumberFormat="1"/>
    <xf numFmtId="0" fontId="3" fillId="0" borderId="1" xfId="0" applyFont="1" applyBorder="1" applyAlignment="1">
      <alignment horizontal="justify" vertical="center" wrapText="1"/>
    </xf>
    <xf numFmtId="0" fontId="3" fillId="0" borderId="2" xfId="0" applyFont="1" applyBorder="1" applyAlignment="1">
      <alignment horizontal="justify" vertical="center" wrapText="1"/>
    </xf>
    <xf numFmtId="0" fontId="2" fillId="0" borderId="3" xfId="0" applyFont="1" applyBorder="1" applyAlignment="1">
      <alignment horizontal="justify" vertical="center" wrapText="1"/>
    </xf>
    <xf numFmtId="0" fontId="2" fillId="0" borderId="0" xfId="0" applyFont="1" applyAlignment="1">
      <alignment horizontal="justify" vertical="center" wrapText="1"/>
    </xf>
    <xf numFmtId="0" fontId="2" fillId="0" borderId="4" xfId="0" applyFont="1" applyBorder="1" applyAlignment="1">
      <alignment horizontal="justify" vertical="center" wrapText="1"/>
    </xf>
    <xf numFmtId="0" fontId="2" fillId="0" borderId="5" xfId="0" applyFont="1" applyBorder="1" applyAlignment="1">
      <alignment horizontal="justify" vertical="center" wrapText="1"/>
    </xf>
    <xf numFmtId="0" fontId="3" fillId="0" borderId="2" xfId="0" applyFont="1" applyBorder="1" applyAlignment="1">
      <alignment horizontal="center" vertical="center" wrapText="1"/>
    </xf>
    <xf numFmtId="0" fontId="2" fillId="0" borderId="3" xfId="0" applyFont="1" applyFill="1" applyBorder="1" applyAlignment="1">
      <alignment horizontal="justify" vertical="center" wrapText="1"/>
    </xf>
    <xf numFmtId="0" fontId="2" fillId="0" borderId="0" xfId="0" applyFont="1" applyAlignment="1">
      <alignment horizontal="right" vertical="center" wrapText="1"/>
    </xf>
    <xf numFmtId="43" fontId="2" fillId="0" borderId="0" xfId="1" applyFont="1" applyAlignment="1">
      <alignment horizontal="right" vertical="center" wrapText="1"/>
    </xf>
    <xf numFmtId="43" fontId="2" fillId="2" borderId="0" xfId="1" applyFont="1" applyFill="1" applyAlignment="1">
      <alignment horizontal="right" vertical="center" wrapText="1"/>
    </xf>
    <xf numFmtId="0" fontId="0" fillId="2" borderId="0" xfId="0" applyFill="1"/>
    <xf numFmtId="43" fontId="2" fillId="0" borderId="0" xfId="1" applyFont="1" applyFill="1" applyAlignment="1">
      <alignment horizontal="right" vertical="center" wrapText="1"/>
    </xf>
    <xf numFmtId="0" fontId="8" fillId="0" borderId="0" xfId="0" applyFont="1"/>
    <xf numFmtId="0" fontId="2" fillId="0" borderId="0" xfId="0" applyFont="1" applyFill="1" applyAlignment="1">
      <alignment horizontal="right" vertical="center" wrapText="1"/>
    </xf>
    <xf numFmtId="0" fontId="2" fillId="0" borderId="5" xfId="0" applyFont="1" applyBorder="1" applyAlignment="1">
      <alignment horizontal="right" vertical="center" wrapText="1"/>
    </xf>
    <xf numFmtId="0" fontId="9" fillId="0" borderId="0" xfId="0" applyFont="1"/>
    <xf numFmtId="43" fontId="0" fillId="0" borderId="0" xfId="1" applyFont="1"/>
    <xf numFmtId="9" fontId="0" fillId="0" borderId="0" xfId="1" applyNumberFormat="1" applyFont="1"/>
    <xf numFmtId="0" fontId="0" fillId="0" borderId="0" xfId="0" quotePrefix="1"/>
    <xf numFmtId="43" fontId="0" fillId="2" borderId="0" xfId="1" applyFont="1" applyFill="1"/>
    <xf numFmtId="43" fontId="0" fillId="0" borderId="0" xfId="0" applyNumberFormat="1"/>
    <xf numFmtId="43" fontId="0" fillId="0" borderId="6" xfId="0" applyNumberFormat="1" applyBorder="1"/>
    <xf numFmtId="164" fontId="0" fillId="0" borderId="0" xfId="6" applyFont="1"/>
    <xf numFmtId="165" fontId="0" fillId="0" borderId="0" xfId="0" applyNumberFormat="1"/>
    <xf numFmtId="0" fontId="10" fillId="0" borderId="0" xfId="0" applyFont="1"/>
    <xf numFmtId="164" fontId="0" fillId="0" borderId="0" xfId="0" applyNumberFormat="1"/>
    <xf numFmtId="10" fontId="0" fillId="0" borderId="0" xfId="7" applyNumberFormat="1" applyFont="1"/>
    <xf numFmtId="166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9" fillId="0" borderId="0" xfId="0" applyFont="1" applyAlignment="1">
      <alignment horizontal="left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2" fillId="2" borderId="0" xfId="0" applyFont="1" applyFill="1" applyAlignment="1">
      <alignment horizontal="right" vertical="center" wrapText="1"/>
    </xf>
    <xf numFmtId="43" fontId="0" fillId="2" borderId="0" xfId="0" applyNumberFormat="1" applyFill="1"/>
    <xf numFmtId="43" fontId="0" fillId="0" borderId="0" xfId="0" applyNumberFormat="1" applyFill="1"/>
    <xf numFmtId="0" fontId="0" fillId="0" borderId="0" xfId="0" applyAlignment="1">
      <alignment horizontal="center" vertical="center"/>
    </xf>
  </cellXfs>
  <cellStyles count="8">
    <cellStyle name="Comma" xfId="1" builtinId="3"/>
    <cellStyle name="Currency" xfId="6" builtinId="4"/>
    <cellStyle name="Followed Hyperlink" xfId="3" builtinId="9" hidden="1"/>
    <cellStyle name="Followed Hyperlink" xfId="5" builtinId="9" hidden="1"/>
    <cellStyle name="Hyperlink" xfId="2" builtinId="8" hidden="1"/>
    <cellStyle name="Hyperlink" xfId="4" builtinId="8" hidden="1"/>
    <cellStyle name="Normal" xfId="0" builtinId="0"/>
    <cellStyle name="Percent" xfId="7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6" Type="http://schemas.openxmlformats.org/officeDocument/2006/relationships/styles" Target="styles.xml"/><Relationship Id="rId1" Type="http://schemas.openxmlformats.org/officeDocument/2006/relationships/worksheet" Target="worksheets/sheet1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tabSelected="1" zoomScale="200" workbookViewId="0">
      <selection activeCell="J3" sqref="J3"/>
    </sheetView>
  </sheetViews>
  <sheetFormatPr baseColWidth="10" defaultColWidth="11" defaultRowHeight="16" x14ac:dyDescent="0.2"/>
  <cols>
    <col min="1" max="1" width="6" customWidth="1"/>
  </cols>
  <sheetData>
    <row r="1" spans="1:13" x14ac:dyDescent="0.2">
      <c r="A1" t="s">
        <v>0</v>
      </c>
      <c r="C1" t="s">
        <v>4</v>
      </c>
      <c r="D1" t="s">
        <v>3</v>
      </c>
      <c r="E1" t="s">
        <v>25</v>
      </c>
      <c r="F1" t="s">
        <v>26</v>
      </c>
      <c r="G1" t="s">
        <v>27</v>
      </c>
      <c r="H1" t="s">
        <v>31</v>
      </c>
      <c r="I1" t="s">
        <v>28</v>
      </c>
      <c r="J1" t="s">
        <v>5</v>
      </c>
      <c r="K1" t="s">
        <v>29</v>
      </c>
    </row>
    <row r="2" spans="1:13" x14ac:dyDescent="0.2">
      <c r="B2" t="s">
        <v>1</v>
      </c>
      <c r="C2" s="1">
        <v>0.4</v>
      </c>
      <c r="D2">
        <f>D3+3</f>
        <v>19</v>
      </c>
      <c r="E2">
        <v>6000</v>
      </c>
      <c r="F2">
        <f>D2*100</f>
        <v>1900</v>
      </c>
      <c r="G2">
        <f>-3*50</f>
        <v>-150</v>
      </c>
      <c r="H2">
        <f>-(E2+F2-7600)*0.5</f>
        <v>-150</v>
      </c>
      <c r="I2">
        <v>400</v>
      </c>
      <c r="J2">
        <f>E2+F2+G2+H2+I2</f>
        <v>8000</v>
      </c>
      <c r="K2">
        <f>J2-(E2+F2)</f>
        <v>100</v>
      </c>
      <c r="L2" s="41">
        <f>C2*K2+C3*K3</f>
        <v>280</v>
      </c>
    </row>
    <row r="3" spans="1:13" x14ac:dyDescent="0.2">
      <c r="B3" t="s">
        <v>2</v>
      </c>
      <c r="C3" s="1">
        <v>0.6</v>
      </c>
      <c r="D3">
        <f>D14+D16+D19+D20+D21+D22</f>
        <v>16</v>
      </c>
      <c r="E3">
        <v>6000</v>
      </c>
      <c r="F3">
        <f>D3*100</f>
        <v>1600</v>
      </c>
      <c r="G3">
        <v>0</v>
      </c>
      <c r="H3">
        <f>-(E3+F3-7600)*0.5</f>
        <v>0</v>
      </c>
      <c r="I3">
        <f>I2</f>
        <v>400</v>
      </c>
      <c r="J3">
        <f>E3+F3+G3+H3+I3</f>
        <v>8000</v>
      </c>
      <c r="K3">
        <f>J3-(E3+F3)</f>
        <v>400</v>
      </c>
      <c r="L3" s="41"/>
      <c r="M3" t="s">
        <v>125</v>
      </c>
    </row>
    <row r="5" spans="1:13" x14ac:dyDescent="0.2">
      <c r="A5" t="s">
        <v>30</v>
      </c>
    </row>
    <row r="6" spans="1:13" x14ac:dyDescent="0.2">
      <c r="B6" t="s">
        <v>1</v>
      </c>
      <c r="C6" s="1">
        <f>C2</f>
        <v>0.4</v>
      </c>
      <c r="D6">
        <v>16</v>
      </c>
      <c r="E6">
        <f>E2+800</f>
        <v>6800</v>
      </c>
      <c r="F6">
        <f t="shared" ref="F6:F7" si="0">D6*100</f>
        <v>1600</v>
      </c>
      <c r="G6">
        <v>0</v>
      </c>
      <c r="H6">
        <f>-(E6+F6-7600)*0.5</f>
        <v>-400</v>
      </c>
      <c r="I6">
        <f>I2</f>
        <v>400</v>
      </c>
      <c r="J6">
        <f>E6+F6+G6+H6+I6</f>
        <v>8400</v>
      </c>
      <c r="K6">
        <f>J6-E6-F6</f>
        <v>0</v>
      </c>
      <c r="L6" s="41">
        <f>C6*K6+C7*K7</f>
        <v>90</v>
      </c>
    </row>
    <row r="7" spans="1:13" x14ac:dyDescent="0.2">
      <c r="B7" t="s">
        <v>2</v>
      </c>
      <c r="C7" s="1">
        <f>C3</f>
        <v>0.6</v>
      </c>
      <c r="D7">
        <v>13</v>
      </c>
      <c r="E7">
        <f>E6</f>
        <v>6800</v>
      </c>
      <c r="F7">
        <f t="shared" si="0"/>
        <v>1300</v>
      </c>
      <c r="G7">
        <v>0</v>
      </c>
      <c r="H7">
        <f>-(E7+F7-7600)*0.5</f>
        <v>-250</v>
      </c>
      <c r="I7">
        <f>I3</f>
        <v>400</v>
      </c>
      <c r="J7">
        <f>E7+F7+G7+H7+I7</f>
        <v>8250</v>
      </c>
      <c r="K7">
        <f>J7-E7-F7</f>
        <v>150</v>
      </c>
      <c r="L7" s="41"/>
    </row>
    <row r="12" spans="1:13" ht="17" thickBot="1" x14ac:dyDescent="0.25"/>
    <row r="13" spans="1:13" ht="30" thickTop="1" thickBot="1" x14ac:dyDescent="0.25">
      <c r="B13" s="2" t="s">
        <v>6</v>
      </c>
      <c r="C13" s="3" t="s">
        <v>7</v>
      </c>
      <c r="D13" s="3" t="s">
        <v>8</v>
      </c>
    </row>
    <row r="14" spans="1:13" ht="56" x14ac:dyDescent="0.2">
      <c r="B14" s="4" t="s">
        <v>9</v>
      </c>
      <c r="C14" s="5" t="s">
        <v>10</v>
      </c>
      <c r="D14" s="5">
        <v>2</v>
      </c>
    </row>
    <row r="15" spans="1:13" ht="28" x14ac:dyDescent="0.2">
      <c r="B15" s="4" t="s">
        <v>11</v>
      </c>
      <c r="C15" s="5" t="s">
        <v>12</v>
      </c>
      <c r="D15" s="5">
        <v>2</v>
      </c>
    </row>
    <row r="16" spans="1:13" ht="56" x14ac:dyDescent="0.2">
      <c r="B16" s="4" t="s">
        <v>13</v>
      </c>
      <c r="C16" s="5" t="s">
        <v>12</v>
      </c>
      <c r="D16" s="5">
        <v>6</v>
      </c>
    </row>
    <row r="17" spans="2:4" ht="56" x14ac:dyDescent="0.2">
      <c r="B17" s="4" t="s">
        <v>14</v>
      </c>
      <c r="C17" s="5" t="s">
        <v>15</v>
      </c>
      <c r="D17" s="5">
        <v>3</v>
      </c>
    </row>
    <row r="18" spans="2:4" ht="56" x14ac:dyDescent="0.2">
      <c r="B18" s="4" t="s">
        <v>16</v>
      </c>
      <c r="C18" s="5" t="s">
        <v>12</v>
      </c>
      <c r="D18" s="5">
        <v>2</v>
      </c>
    </row>
    <row r="19" spans="2:4" ht="42" x14ac:dyDescent="0.2">
      <c r="B19" s="4" t="s">
        <v>17</v>
      </c>
      <c r="C19" s="5" t="s">
        <v>18</v>
      </c>
      <c r="D19" s="5">
        <v>4</v>
      </c>
    </row>
    <row r="20" spans="2:4" ht="28" x14ac:dyDescent="0.2">
      <c r="B20" s="4" t="s">
        <v>19</v>
      </c>
      <c r="C20" s="5" t="s">
        <v>20</v>
      </c>
      <c r="D20" s="5">
        <v>1</v>
      </c>
    </row>
    <row r="21" spans="2:4" ht="42" x14ac:dyDescent="0.2">
      <c r="B21" s="4" t="s">
        <v>21</v>
      </c>
      <c r="C21" s="5" t="s">
        <v>22</v>
      </c>
      <c r="D21" s="5">
        <v>2</v>
      </c>
    </row>
    <row r="22" spans="2:4" ht="17" thickBot="1" x14ac:dyDescent="0.25">
      <c r="B22" s="6" t="s">
        <v>23</v>
      </c>
      <c r="C22" s="7" t="s">
        <v>24</v>
      </c>
      <c r="D22" s="7">
        <v>1</v>
      </c>
    </row>
    <row r="23" spans="2:4" ht="17" thickTop="1" x14ac:dyDescent="0.2"/>
  </sheetData>
  <mergeCells count="2">
    <mergeCell ref="L2:L3"/>
    <mergeCell ref="L6:L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zoomScale="200" zoomScaleNormal="140" zoomScalePageLayoutView="140" workbookViewId="0">
      <selection activeCell="I16" sqref="I16"/>
    </sheetView>
  </sheetViews>
  <sheetFormatPr baseColWidth="10" defaultColWidth="11" defaultRowHeight="16" x14ac:dyDescent="0.2"/>
  <cols>
    <col min="1" max="1" width="29.5" bestFit="1" customWidth="1"/>
    <col min="2" max="5" width="14" customWidth="1"/>
  </cols>
  <sheetData>
    <row r="1" spans="1:11" ht="18" thickTop="1" thickBot="1" x14ac:dyDescent="0.25">
      <c r="A1" s="2" t="s">
        <v>6</v>
      </c>
      <c r="B1" s="8" t="s">
        <v>35</v>
      </c>
      <c r="C1" s="8" t="s">
        <v>32</v>
      </c>
      <c r="D1" s="8" t="s">
        <v>33</v>
      </c>
      <c r="E1" s="8" t="s">
        <v>34</v>
      </c>
      <c r="F1" s="8" t="s">
        <v>38</v>
      </c>
      <c r="G1" s="8" t="s">
        <v>39</v>
      </c>
    </row>
    <row r="2" spans="1:11" x14ac:dyDescent="0.2">
      <c r="A2" s="4" t="s">
        <v>40</v>
      </c>
      <c r="B2" s="10">
        <v>200</v>
      </c>
      <c r="C2" s="38">
        <v>200</v>
      </c>
      <c r="D2" s="38">
        <v>200</v>
      </c>
      <c r="E2" s="38">
        <v>220</v>
      </c>
      <c r="F2" s="14">
        <f>D2/E2</f>
        <v>0.90909090909090906</v>
      </c>
      <c r="G2" s="14">
        <f>D2/C2</f>
        <v>1</v>
      </c>
    </row>
    <row r="3" spans="1:11" x14ac:dyDescent="0.2">
      <c r="A3" s="4" t="s">
        <v>41</v>
      </c>
      <c r="B3" s="10">
        <v>300</v>
      </c>
      <c r="C3" s="16">
        <v>280</v>
      </c>
      <c r="D3" s="16">
        <v>300</v>
      </c>
      <c r="E3" s="16">
        <v>200</v>
      </c>
      <c r="F3" s="14">
        <f t="shared" ref="F3:F7" si="0">D3/E3</f>
        <v>1.5</v>
      </c>
      <c r="G3" s="14">
        <f t="shared" ref="G3:G7" si="1">D3/C3</f>
        <v>1.0714285714285714</v>
      </c>
    </row>
    <row r="4" spans="1:11" x14ac:dyDescent="0.2">
      <c r="A4" s="4" t="s">
        <v>42</v>
      </c>
      <c r="B4" s="10">
        <v>1400</v>
      </c>
      <c r="C4" s="38">
        <v>1400</v>
      </c>
      <c r="D4" s="38">
        <v>1450</v>
      </c>
      <c r="E4" s="38">
        <v>1600</v>
      </c>
      <c r="F4" s="14">
        <f t="shared" si="0"/>
        <v>0.90625</v>
      </c>
      <c r="G4" s="14">
        <f t="shared" si="1"/>
        <v>1.0357142857142858</v>
      </c>
    </row>
    <row r="5" spans="1:11" x14ac:dyDescent="0.2">
      <c r="A5" s="4" t="s">
        <v>43</v>
      </c>
      <c r="B5" s="10">
        <v>1600</v>
      </c>
      <c r="C5" s="16">
        <v>1000</v>
      </c>
      <c r="D5" s="16">
        <v>1200</v>
      </c>
      <c r="E5" s="16">
        <v>800</v>
      </c>
      <c r="F5" s="14">
        <f t="shared" si="0"/>
        <v>1.5</v>
      </c>
      <c r="G5" s="14">
        <f t="shared" si="1"/>
        <v>1.2</v>
      </c>
    </row>
    <row r="6" spans="1:11" x14ac:dyDescent="0.2">
      <c r="A6" s="4" t="s">
        <v>44</v>
      </c>
      <c r="B6" s="10">
        <v>300</v>
      </c>
      <c r="C6" s="16">
        <v>280</v>
      </c>
      <c r="D6" s="16">
        <v>300</v>
      </c>
      <c r="E6" s="16">
        <v>250</v>
      </c>
      <c r="F6" s="14">
        <f t="shared" si="0"/>
        <v>1.2</v>
      </c>
      <c r="G6" s="14">
        <f t="shared" si="1"/>
        <v>1.0714285714285714</v>
      </c>
    </row>
    <row r="7" spans="1:11" x14ac:dyDescent="0.2">
      <c r="A7" s="4" t="s">
        <v>45</v>
      </c>
      <c r="B7" s="10">
        <v>700</v>
      </c>
      <c r="C7" s="38">
        <v>700</v>
      </c>
      <c r="D7" s="38">
        <v>500</v>
      </c>
      <c r="E7" s="38">
        <v>600</v>
      </c>
      <c r="F7" s="14">
        <f t="shared" si="0"/>
        <v>0.83333333333333337</v>
      </c>
      <c r="G7" s="14">
        <f t="shared" si="1"/>
        <v>0.7142857142857143</v>
      </c>
    </row>
    <row r="8" spans="1:11" x14ac:dyDescent="0.2">
      <c r="A8" s="4" t="s">
        <v>46</v>
      </c>
      <c r="B8" s="10">
        <v>1000</v>
      </c>
      <c r="C8" s="10"/>
      <c r="D8" s="10"/>
      <c r="E8" s="10"/>
      <c r="F8" s="11"/>
      <c r="G8" s="11"/>
    </row>
    <row r="9" spans="1:11" x14ac:dyDescent="0.2">
      <c r="A9" s="4" t="s">
        <v>47</v>
      </c>
      <c r="B9" s="10">
        <v>400</v>
      </c>
      <c r="C9" s="10"/>
      <c r="D9" s="10"/>
      <c r="E9" s="10"/>
      <c r="F9" s="11"/>
      <c r="G9" s="11"/>
    </row>
    <row r="10" spans="1:11" ht="17" thickBot="1" x14ac:dyDescent="0.25">
      <c r="A10" s="6" t="s">
        <v>48</v>
      </c>
      <c r="B10" s="17">
        <v>100</v>
      </c>
      <c r="C10" s="17"/>
      <c r="D10" s="17"/>
      <c r="E10" s="17"/>
      <c r="F10" s="11"/>
      <c r="G10" s="11"/>
    </row>
    <row r="11" spans="1:11" ht="17" thickTop="1" x14ac:dyDescent="0.2">
      <c r="A11" s="9" t="s">
        <v>36</v>
      </c>
      <c r="B11" s="15">
        <f>SUM(B2:B10)</f>
        <v>6000</v>
      </c>
      <c r="C11" s="15">
        <f t="shared" ref="C11:E11" si="2">SUM(C2:C10)</f>
        <v>3860</v>
      </c>
      <c r="D11" s="15">
        <f t="shared" si="2"/>
        <v>3950</v>
      </c>
      <c r="E11" s="15">
        <f t="shared" si="2"/>
        <v>3670</v>
      </c>
      <c r="F11" s="12">
        <f t="shared" ref="F11" si="3">D11/E11</f>
        <v>1.0762942779291553</v>
      </c>
      <c r="G11" s="11">
        <f t="shared" ref="G11" si="4">D11/C11</f>
        <v>1.0233160621761659</v>
      </c>
    </row>
    <row r="12" spans="1:11" x14ac:dyDescent="0.2">
      <c r="C12" s="13">
        <f>C2+C4+C7</f>
        <v>2300</v>
      </c>
      <c r="D12" s="13">
        <f t="shared" ref="D12" si="5">D2+D4+D7</f>
        <v>2150</v>
      </c>
      <c r="E12" s="13"/>
      <c r="F12" s="12"/>
      <c r="G12" s="12">
        <f t="shared" ref="G12" si="6">D12/C12</f>
        <v>0.93478260869565222</v>
      </c>
      <c r="H12" t="s">
        <v>126</v>
      </c>
    </row>
    <row r="13" spans="1:11" x14ac:dyDescent="0.2">
      <c r="B13" t="s">
        <v>37</v>
      </c>
    </row>
    <row r="15" spans="1:11" x14ac:dyDescent="0.2">
      <c r="B15" t="s">
        <v>128</v>
      </c>
      <c r="C15" t="s">
        <v>134</v>
      </c>
      <c r="D15" t="s">
        <v>129</v>
      </c>
      <c r="E15" t="s">
        <v>130</v>
      </c>
      <c r="F15" t="s">
        <v>131</v>
      </c>
      <c r="G15" t="s">
        <v>138</v>
      </c>
      <c r="H15" t="s">
        <v>132</v>
      </c>
      <c r="I15" t="s">
        <v>133</v>
      </c>
      <c r="J15" t="s">
        <v>136</v>
      </c>
      <c r="K15" t="s">
        <v>137</v>
      </c>
    </row>
    <row r="16" spans="1:11" x14ac:dyDescent="0.2">
      <c r="A16" t="s">
        <v>127</v>
      </c>
      <c r="B16" s="23">
        <f>16/G12</f>
        <v>17.11627906976744</v>
      </c>
      <c r="C16" s="23">
        <f>$B$11/F11</f>
        <v>5574.6835443037971</v>
      </c>
      <c r="D16" s="23">
        <f>B16*100</f>
        <v>1711.627906976744</v>
      </c>
      <c r="E16">
        <v>400</v>
      </c>
      <c r="F16" s="23">
        <f>(7600-(C16+D16))/2</f>
        <v>156.8442743597293</v>
      </c>
      <c r="G16" s="19">
        <f>-(B16-16)*50</f>
        <v>-55.813953488372015</v>
      </c>
      <c r="H16" s="39">
        <f>SUM(C16:G16)</f>
        <v>7787.3417721518981</v>
      </c>
      <c r="I16" s="39">
        <f>H16-(C16+D16)</f>
        <v>501.03032087135671</v>
      </c>
      <c r="J16" s="29">
        <f>I16/H16</f>
        <v>6.4339069162609203E-2</v>
      </c>
      <c r="K16" s="29">
        <f>I16/(C16+D16)</f>
        <v>6.8763231467864658E-2</v>
      </c>
    </row>
    <row r="17" spans="1:11" x14ac:dyDescent="0.2">
      <c r="A17" t="s">
        <v>135</v>
      </c>
      <c r="B17">
        <v>16</v>
      </c>
      <c r="C17" s="19">
        <f>B11/(F11*G12)</f>
        <v>5963.6149543715037</v>
      </c>
      <c r="D17" s="23">
        <f>B17*100</f>
        <v>1600</v>
      </c>
      <c r="E17">
        <v>400</v>
      </c>
      <c r="F17" s="23">
        <f>(7600-(C17+D17))/2</f>
        <v>18.19252281424815</v>
      </c>
      <c r="G17" s="19">
        <f>-(B17-16)*50</f>
        <v>0</v>
      </c>
      <c r="H17" s="40">
        <f>SUM(C17:G17)</f>
        <v>7981.8074771857518</v>
      </c>
      <c r="I17" s="23">
        <f>H17-(C17+D17)</f>
        <v>418.19252281424815</v>
      </c>
      <c r="J17" s="29">
        <f>I17/H17</f>
        <v>5.2393210937442411E-2</v>
      </c>
      <c r="K17" s="29">
        <f>I17/(C17+D17)</f>
        <v>5.5290033315689553E-2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topLeftCell="A4" workbookViewId="0">
      <selection activeCell="B22" sqref="B22"/>
    </sheetView>
  </sheetViews>
  <sheetFormatPr baseColWidth="10" defaultColWidth="11" defaultRowHeight="16" x14ac:dyDescent="0.2"/>
  <cols>
    <col min="1" max="1" width="21" customWidth="1"/>
    <col min="2" max="2" width="23" customWidth="1"/>
    <col min="8" max="8" width="13.83203125" bestFit="1" customWidth="1"/>
    <col min="14" max="15" width="13.83203125" bestFit="1" customWidth="1"/>
  </cols>
  <sheetData>
    <row r="1" spans="1:16" x14ac:dyDescent="0.35">
      <c r="A1" t="s">
        <v>51</v>
      </c>
    </row>
    <row r="2" spans="1:16" x14ac:dyDescent="0.2">
      <c r="A2" s="18" t="s">
        <v>49</v>
      </c>
    </row>
    <row r="3" spans="1:16" x14ac:dyDescent="0.35">
      <c r="A3" s="18" t="s">
        <v>50</v>
      </c>
    </row>
    <row r="4" spans="1:16" x14ac:dyDescent="0.35">
      <c r="O4" s="27">
        <f>SUM(O5:O18)</f>
        <v>6</v>
      </c>
      <c r="P4" s="27"/>
    </row>
    <row r="5" spans="1:16" x14ac:dyDescent="0.35">
      <c r="A5" t="s">
        <v>52</v>
      </c>
      <c r="B5" s="19">
        <v>15000000</v>
      </c>
      <c r="H5">
        <v>1</v>
      </c>
      <c r="I5" t="s">
        <v>73</v>
      </c>
      <c r="O5">
        <v>1</v>
      </c>
    </row>
    <row r="6" spans="1:16" x14ac:dyDescent="0.35">
      <c r="A6" t="s">
        <v>53</v>
      </c>
      <c r="B6" s="20">
        <v>0.1</v>
      </c>
      <c r="H6">
        <v>2</v>
      </c>
      <c r="I6" t="s">
        <v>74</v>
      </c>
    </row>
    <row r="7" spans="1:16" x14ac:dyDescent="0.35">
      <c r="A7" t="s">
        <v>54</v>
      </c>
      <c r="B7" s="20">
        <v>0.05</v>
      </c>
      <c r="I7" t="s">
        <v>76</v>
      </c>
      <c r="J7" t="s">
        <v>75</v>
      </c>
      <c r="K7" t="s">
        <v>79</v>
      </c>
      <c r="N7" s="23">
        <f>B11</f>
        <v>1.5</v>
      </c>
      <c r="O7">
        <v>0.5</v>
      </c>
    </row>
    <row r="8" spans="1:16" x14ac:dyDescent="0.35">
      <c r="A8" t="s">
        <v>57</v>
      </c>
      <c r="B8" s="19">
        <v>1000000</v>
      </c>
      <c r="I8" t="s">
        <v>77</v>
      </c>
      <c r="J8" t="s">
        <v>58</v>
      </c>
      <c r="N8" s="23">
        <f>B12</f>
        <v>16</v>
      </c>
      <c r="O8">
        <v>0.5</v>
      </c>
    </row>
    <row r="9" spans="1:16" x14ac:dyDescent="0.35">
      <c r="B9" s="19"/>
      <c r="I9" t="s">
        <v>80</v>
      </c>
      <c r="J9" t="s">
        <v>81</v>
      </c>
      <c r="N9" t="s">
        <v>92</v>
      </c>
      <c r="O9">
        <v>0.5</v>
      </c>
    </row>
    <row r="10" spans="1:16" x14ac:dyDescent="0.35">
      <c r="A10" t="s">
        <v>55</v>
      </c>
      <c r="B10" s="19"/>
      <c r="H10">
        <v>3</v>
      </c>
      <c r="I10" t="s">
        <v>78</v>
      </c>
    </row>
    <row r="11" spans="1:16" x14ac:dyDescent="0.35">
      <c r="A11" t="s">
        <v>60</v>
      </c>
      <c r="B11" s="19">
        <v>1.5</v>
      </c>
      <c r="C11" t="s">
        <v>56</v>
      </c>
      <c r="I11" t="s">
        <v>76</v>
      </c>
      <c r="J11" t="s">
        <v>97</v>
      </c>
      <c r="N11" s="28">
        <f>H24</f>
        <v>5925925.9259259254</v>
      </c>
      <c r="O11">
        <v>2</v>
      </c>
    </row>
    <row r="12" spans="1:16" x14ac:dyDescent="0.35">
      <c r="A12" t="s">
        <v>58</v>
      </c>
      <c r="B12" s="19">
        <f>24*2/3</f>
        <v>16</v>
      </c>
      <c r="C12" t="s">
        <v>59</v>
      </c>
      <c r="I12" t="s">
        <v>77</v>
      </c>
      <c r="J12" t="s">
        <v>82</v>
      </c>
      <c r="N12">
        <f>J23</f>
        <v>0.65306122448979587</v>
      </c>
      <c r="O12">
        <v>0.5</v>
      </c>
    </row>
    <row r="13" spans="1:16" x14ac:dyDescent="0.35">
      <c r="A13" t="s">
        <v>87</v>
      </c>
      <c r="B13" s="19">
        <v>0.25</v>
      </c>
      <c r="H13">
        <v>4</v>
      </c>
      <c r="I13" t="s">
        <v>89</v>
      </c>
      <c r="O13">
        <v>1</v>
      </c>
    </row>
    <row r="14" spans="1:16" x14ac:dyDescent="0.35">
      <c r="A14" t="s">
        <v>88</v>
      </c>
      <c r="B14" s="19">
        <v>1</v>
      </c>
      <c r="I14" t="s">
        <v>76</v>
      </c>
      <c r="J14" t="s">
        <v>90</v>
      </c>
      <c r="N14" s="1">
        <v>0.25</v>
      </c>
    </row>
    <row r="15" spans="1:16" x14ac:dyDescent="0.35">
      <c r="B15" s="19"/>
      <c r="I15" t="s">
        <v>77</v>
      </c>
      <c r="J15" t="s">
        <v>91</v>
      </c>
      <c r="N15" s="1">
        <v>1</v>
      </c>
    </row>
    <row r="16" spans="1:16" x14ac:dyDescent="0.35">
      <c r="B16" s="19"/>
      <c r="I16" t="s">
        <v>80</v>
      </c>
      <c r="J16" t="s">
        <v>94</v>
      </c>
      <c r="N16" s="26">
        <f>B8-(B8-N11*B7)*N14</f>
        <v>824074.07407407404</v>
      </c>
    </row>
    <row r="17" spans="1:14" x14ac:dyDescent="0.35">
      <c r="B17" s="19"/>
      <c r="I17" t="s">
        <v>3</v>
      </c>
      <c r="J17" t="s">
        <v>93</v>
      </c>
      <c r="N17">
        <f>N16/N11/(1/N8+B7)</f>
        <v>1.2361111111111112</v>
      </c>
    </row>
    <row r="18" spans="1:14" x14ac:dyDescent="0.2">
      <c r="A18" t="s">
        <v>65</v>
      </c>
      <c r="B18" s="22">
        <v>5556163.9467864782</v>
      </c>
      <c r="C18" t="s">
        <v>66</v>
      </c>
      <c r="I18" t="s">
        <v>96</v>
      </c>
      <c r="J18" t="s">
        <v>95</v>
      </c>
      <c r="L18" t="s">
        <v>71</v>
      </c>
      <c r="M18">
        <v>1.2</v>
      </c>
      <c r="N18" t="str">
        <f>IF(N17&gt;M18,"ok")</f>
        <v>ok</v>
      </c>
    </row>
    <row r="19" spans="1:14" x14ac:dyDescent="0.2">
      <c r="A19" t="s">
        <v>61</v>
      </c>
      <c r="B19" s="21" t="s">
        <v>62</v>
      </c>
      <c r="C19" t="s">
        <v>63</v>
      </c>
      <c r="I19" t="s">
        <v>98</v>
      </c>
      <c r="J19" t="s">
        <v>99</v>
      </c>
      <c r="N19" s="29">
        <f>H25/B5*B6+H24/B5*B7*(1-N14)</f>
        <v>7.5308641975308649E-2</v>
      </c>
    </row>
    <row r="20" spans="1:14" x14ac:dyDescent="0.2">
      <c r="A20" t="s">
        <v>64</v>
      </c>
      <c r="B20" s="19">
        <f>B18/B12</f>
        <v>347260.24667415489</v>
      </c>
    </row>
    <row r="21" spans="1:14" x14ac:dyDescent="0.2">
      <c r="A21" t="s">
        <v>67</v>
      </c>
      <c r="B21" s="24">
        <f>B18*B7</f>
        <v>277808.19733932393</v>
      </c>
      <c r="C21" s="21" t="s">
        <v>68</v>
      </c>
    </row>
    <row r="22" spans="1:14" x14ac:dyDescent="0.2">
      <c r="A22" t="s">
        <v>69</v>
      </c>
      <c r="B22" s="23">
        <f>SUM(B20:B21)</f>
        <v>625068.44401347882</v>
      </c>
    </row>
    <row r="23" spans="1:14" x14ac:dyDescent="0.2">
      <c r="G23" t="s">
        <v>84</v>
      </c>
      <c r="H23" s="23">
        <f>+B5</f>
        <v>15000000</v>
      </c>
      <c r="I23" t="s">
        <v>86</v>
      </c>
      <c r="J23">
        <f>H24/H25</f>
        <v>0.65306122448979587</v>
      </c>
    </row>
    <row r="24" spans="1:14" x14ac:dyDescent="0.2">
      <c r="A24" t="s">
        <v>70</v>
      </c>
      <c r="B24">
        <f>B8/B22</f>
        <v>1.599824802511445</v>
      </c>
      <c r="C24" s="21" t="s">
        <v>71</v>
      </c>
      <c r="D24" s="23">
        <f>B11</f>
        <v>1.5</v>
      </c>
      <c r="G24" t="s">
        <v>83</v>
      </c>
      <c r="H24" s="25">
        <f>B8/B11/(1/B12+B7)</f>
        <v>5925925.9259259254</v>
      </c>
    </row>
    <row r="25" spans="1:14" x14ac:dyDescent="0.2">
      <c r="G25" t="s">
        <v>85</v>
      </c>
      <c r="H25" s="26">
        <f>H23-H24</f>
        <v>9074074.0740740746</v>
      </c>
    </row>
    <row r="26" spans="1:14" x14ac:dyDescent="0.2">
      <c r="A26" t="s">
        <v>72</v>
      </c>
    </row>
    <row r="28" spans="1:14" x14ac:dyDescent="0.2">
      <c r="A28" t="s">
        <v>83</v>
      </c>
      <c r="B28" s="26">
        <f>B8*(B13-1)/(B7*B13-B11*(1/B12+B7))</f>
        <v>4800000</v>
      </c>
    </row>
    <row r="29" spans="1:14" x14ac:dyDescent="0.2">
      <c r="A29" t="s">
        <v>85</v>
      </c>
      <c r="B29" s="26">
        <f>B5-B28</f>
        <v>10200000</v>
      </c>
    </row>
    <row r="30" spans="1:14" x14ac:dyDescent="0.2">
      <c r="A30" t="s">
        <v>86</v>
      </c>
      <c r="B30">
        <f>B28/B29</f>
        <v>0.47058823529411764</v>
      </c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"/>
  <sheetViews>
    <sheetView topLeftCell="A2" zoomScale="228" workbookViewId="0">
      <selection activeCell="F14" sqref="F14"/>
    </sheetView>
  </sheetViews>
  <sheetFormatPr baseColWidth="10" defaultColWidth="11" defaultRowHeight="16" x14ac:dyDescent="0.2"/>
  <cols>
    <col min="1" max="1" width="21" style="31" customWidth="1"/>
    <col min="2" max="2" width="12" customWidth="1"/>
    <col min="3" max="3" width="42.6640625" bestFit="1" customWidth="1"/>
    <col min="5" max="5" width="14.83203125" bestFit="1" customWidth="1"/>
    <col min="8" max="8" width="13.83203125" bestFit="1" customWidth="1"/>
    <col min="10" max="10" width="38.83203125" customWidth="1"/>
    <col min="12" max="12" width="14.1640625" bestFit="1" customWidth="1"/>
    <col min="13" max="13" width="13.83203125" bestFit="1" customWidth="1"/>
  </cols>
  <sheetData>
    <row r="1" spans="1:14" x14ac:dyDescent="0.2">
      <c r="A1" s="32" t="s">
        <v>51</v>
      </c>
    </row>
    <row r="2" spans="1:14" x14ac:dyDescent="0.2">
      <c r="A2" s="33" t="s">
        <v>49</v>
      </c>
    </row>
    <row r="3" spans="1:14" x14ac:dyDescent="0.2">
      <c r="A3" s="33" t="s">
        <v>50</v>
      </c>
    </row>
    <row r="4" spans="1:14" ht="17" thickBot="1" x14ac:dyDescent="0.25">
      <c r="F4" t="s">
        <v>121</v>
      </c>
      <c r="M4" s="27">
        <f>SUM(F5:F32)</f>
        <v>6</v>
      </c>
      <c r="N4" s="27"/>
    </row>
    <row r="5" spans="1:14" ht="17" thickBot="1" x14ac:dyDescent="0.25">
      <c r="A5" s="31">
        <v>1</v>
      </c>
      <c r="B5" t="s">
        <v>73</v>
      </c>
      <c r="F5" s="34">
        <v>1</v>
      </c>
    </row>
    <row r="6" spans="1:14" x14ac:dyDescent="0.2">
      <c r="C6" t="s">
        <v>52</v>
      </c>
      <c r="E6" s="19">
        <v>15000000</v>
      </c>
    </row>
    <row r="7" spans="1:14" x14ac:dyDescent="0.2">
      <c r="C7" t="s">
        <v>53</v>
      </c>
      <c r="E7" s="20">
        <v>0.1</v>
      </c>
    </row>
    <row r="8" spans="1:14" x14ac:dyDescent="0.2">
      <c r="C8" t="s">
        <v>54</v>
      </c>
      <c r="D8" t="s">
        <v>103</v>
      </c>
      <c r="E8" s="20">
        <v>0.05</v>
      </c>
    </row>
    <row r="9" spans="1:14" x14ac:dyDescent="0.2">
      <c r="C9" t="s">
        <v>57</v>
      </c>
      <c r="D9" t="s">
        <v>102</v>
      </c>
      <c r="E9" s="19">
        <v>1000000</v>
      </c>
    </row>
    <row r="10" spans="1:14" x14ac:dyDescent="0.2">
      <c r="C10" t="s">
        <v>108</v>
      </c>
      <c r="D10" t="s">
        <v>109</v>
      </c>
      <c r="E10">
        <v>24</v>
      </c>
    </row>
    <row r="11" spans="1:14" ht="17" thickBot="1" x14ac:dyDescent="0.25">
      <c r="A11" s="31">
        <v>2</v>
      </c>
      <c r="B11" t="s">
        <v>74</v>
      </c>
    </row>
    <row r="12" spans="1:14" x14ac:dyDescent="0.2">
      <c r="B12" t="s">
        <v>76</v>
      </c>
      <c r="C12" t="s">
        <v>75</v>
      </c>
      <c r="D12" t="s">
        <v>79</v>
      </c>
      <c r="E12" s="19">
        <v>1.5</v>
      </c>
      <c r="F12" s="35">
        <v>0.5</v>
      </c>
    </row>
    <row r="13" spans="1:14" x14ac:dyDescent="0.2">
      <c r="B13" t="s">
        <v>77</v>
      </c>
      <c r="C13" t="s">
        <v>58</v>
      </c>
      <c r="D13" t="s">
        <v>101</v>
      </c>
      <c r="E13" s="19">
        <f>24*2/3</f>
        <v>16</v>
      </c>
      <c r="F13" s="36">
        <v>0.5</v>
      </c>
    </row>
    <row r="14" spans="1:14" ht="17" thickBot="1" x14ac:dyDescent="0.25">
      <c r="B14" t="s">
        <v>80</v>
      </c>
      <c r="C14" t="s">
        <v>81</v>
      </c>
      <c r="E14" t="s">
        <v>92</v>
      </c>
      <c r="F14" s="37">
        <v>0.5</v>
      </c>
    </row>
    <row r="15" spans="1:14" ht="17" thickBot="1" x14ac:dyDescent="0.25">
      <c r="A15" s="31">
        <v>3</v>
      </c>
      <c r="B15" t="s">
        <v>78</v>
      </c>
    </row>
    <row r="16" spans="1:14" x14ac:dyDescent="0.2">
      <c r="B16" t="s">
        <v>76</v>
      </c>
      <c r="C16" t="s">
        <v>97</v>
      </c>
      <c r="E16" s="25">
        <f>cfg/DSCRg/(1/nr+cd)</f>
        <v>5925925.9259259254</v>
      </c>
      <c r="F16" s="35">
        <v>2</v>
      </c>
    </row>
    <row r="17" spans="1:6" x14ac:dyDescent="0.2">
      <c r="C17" t="s">
        <v>104</v>
      </c>
      <c r="E17" s="25"/>
      <c r="F17" s="36"/>
    </row>
    <row r="18" spans="1:6" ht="17" thickBot="1" x14ac:dyDescent="0.25">
      <c r="B18" t="s">
        <v>77</v>
      </c>
      <c r="C18" t="s">
        <v>82</v>
      </c>
      <c r="E18" s="30">
        <f>E16/(E6-E16)</f>
        <v>0.65306122448979587</v>
      </c>
      <c r="F18" s="37">
        <v>0.5</v>
      </c>
    </row>
    <row r="19" spans="1:6" ht="17" thickBot="1" x14ac:dyDescent="0.25">
      <c r="C19" t="s">
        <v>110</v>
      </c>
      <c r="E19" s="30"/>
    </row>
    <row r="20" spans="1:6" ht="17" thickBot="1" x14ac:dyDescent="0.25">
      <c r="A20" s="31" t="s">
        <v>120</v>
      </c>
      <c r="B20" t="s">
        <v>89</v>
      </c>
      <c r="F20" s="34">
        <v>1</v>
      </c>
    </row>
    <row r="21" spans="1:6" x14ac:dyDescent="0.2">
      <c r="B21" t="s">
        <v>76</v>
      </c>
      <c r="C21" t="s">
        <v>90</v>
      </c>
      <c r="E21" s="1">
        <v>0.25</v>
      </c>
    </row>
    <row r="22" spans="1:6" x14ac:dyDescent="0.2">
      <c r="B22" t="s">
        <v>77</v>
      </c>
      <c r="C22" t="s">
        <v>115</v>
      </c>
      <c r="E22" s="1">
        <v>1</v>
      </c>
    </row>
    <row r="23" spans="1:6" x14ac:dyDescent="0.2">
      <c r="C23" t="s">
        <v>105</v>
      </c>
      <c r="D23" s="21" t="s">
        <v>106</v>
      </c>
      <c r="E23" s="25">
        <f>cfg</f>
        <v>1000000</v>
      </c>
    </row>
    <row r="24" spans="1:6" x14ac:dyDescent="0.2">
      <c r="C24" t="s">
        <v>107</v>
      </c>
      <c r="E24" s="25">
        <f>capex/E10</f>
        <v>625000</v>
      </c>
    </row>
    <row r="25" spans="1:6" x14ac:dyDescent="0.2">
      <c r="C25" t="s">
        <v>112</v>
      </c>
      <c r="E25" s="25">
        <f>E23-E24</f>
        <v>375000</v>
      </c>
    </row>
    <row r="26" spans="1:6" x14ac:dyDescent="0.2">
      <c r="C26" t="s">
        <v>111</v>
      </c>
      <c r="E26" s="25">
        <f>E16*(1/nr+cd)</f>
        <v>666666.66666666663</v>
      </c>
    </row>
    <row r="27" spans="1:6" x14ac:dyDescent="0.2">
      <c r="C27" t="s">
        <v>114</v>
      </c>
      <c r="E27" s="25">
        <f>E25-E26</f>
        <v>-291666.66666666663</v>
      </c>
    </row>
    <row r="28" spans="1:6" x14ac:dyDescent="0.2">
      <c r="C28" t="s">
        <v>113</v>
      </c>
      <c r="E28" s="26">
        <f>IF(E27&gt;0,E27,0)</f>
        <v>0</v>
      </c>
    </row>
    <row r="29" spans="1:6" x14ac:dyDescent="0.2">
      <c r="C29" t="s">
        <v>116</v>
      </c>
      <c r="E29" s="26">
        <f>E28*E21</f>
        <v>0</v>
      </c>
    </row>
    <row r="30" spans="1:6" x14ac:dyDescent="0.2">
      <c r="C30" t="s">
        <v>117</v>
      </c>
      <c r="E30" s="26">
        <f>E23-E29</f>
        <v>1000000</v>
      </c>
    </row>
    <row r="31" spans="1:6" x14ac:dyDescent="0.2">
      <c r="B31" t="s">
        <v>80</v>
      </c>
      <c r="C31" t="s">
        <v>93</v>
      </c>
      <c r="E31" s="19">
        <f>(E23-E29)/E26</f>
        <v>1.5</v>
      </c>
    </row>
    <row r="32" spans="1:6" x14ac:dyDescent="0.2">
      <c r="B32" t="s">
        <v>3</v>
      </c>
      <c r="C32" t="s">
        <v>100</v>
      </c>
      <c r="D32">
        <v>1.2</v>
      </c>
      <c r="E32" t="str">
        <f>IF(E31&gt;=D32,"ok")</f>
        <v>ok</v>
      </c>
    </row>
    <row r="33" spans="1:5" x14ac:dyDescent="0.2">
      <c r="A33" s="31" t="s">
        <v>119</v>
      </c>
    </row>
    <row r="34" spans="1:5" x14ac:dyDescent="0.2">
      <c r="B34" t="s">
        <v>96</v>
      </c>
      <c r="C34" t="s">
        <v>99</v>
      </c>
      <c r="E34" s="29">
        <f>(capex-E16)/E6*E7+E16/E6*E8*(1-E21)</f>
        <v>7.5308641975308649E-2</v>
      </c>
    </row>
    <row r="35" spans="1:5" x14ac:dyDescent="0.2">
      <c r="B35" t="s">
        <v>98</v>
      </c>
      <c r="C35" t="s">
        <v>118</v>
      </c>
      <c r="E35" s="25">
        <f>E30*(1+E34)*(1-(1+E34)^(-E10))/E34-capex</f>
        <v>-3221041.1908731293</v>
      </c>
    </row>
    <row r="36" spans="1:5" x14ac:dyDescent="0.2">
      <c r="C36" t="s">
        <v>122</v>
      </c>
    </row>
    <row r="37" spans="1:5" x14ac:dyDescent="0.2">
      <c r="B37" t="s">
        <v>123</v>
      </c>
      <c r="C37" t="s">
        <v>124</v>
      </c>
      <c r="E37" t="str">
        <f>IF(E35&lt;=0,"KO","OK")</f>
        <v>KO</v>
      </c>
    </row>
  </sheetData>
  <pageMargins left="0.7" right="0.7" top="0.75" bottom="0.75" header="0.3" footer="0.3"/>
  <pageSetup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222DBE8FD646149959EC0415AA50120" ma:contentTypeVersion="9" ma:contentTypeDescription="Create a new document." ma:contentTypeScope="" ma:versionID="ef577b88b1bee65365b87888d1d7a161">
  <xsd:schema xmlns:xsd="http://www.w3.org/2001/XMLSchema" xmlns:xs="http://www.w3.org/2001/XMLSchema" xmlns:p="http://schemas.microsoft.com/office/2006/metadata/properties" xmlns:ns2="c372b2f8-427a-4ca8-a234-d0ee0100bf8c" targetNamespace="http://schemas.microsoft.com/office/2006/metadata/properties" ma:root="true" ma:fieldsID="f3e05d35c0ce9109270544ebf7d7587d" ns2:_="">
    <xsd:import namespace="c372b2f8-427a-4ca8-a234-d0ee0100bf8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72b2f8-427a-4ca8-a234-d0ee0100bf8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C0A23AC-504E-40CC-B126-71E56C62B517}"/>
</file>

<file path=customXml/itemProps2.xml><?xml version="1.0" encoding="utf-8"?>
<ds:datastoreItem xmlns:ds="http://schemas.openxmlformats.org/officeDocument/2006/customXml" ds:itemID="{7329CB17-13FB-4604-BDB5-BF2E5F5DB392}"/>
</file>

<file path=customXml/itemProps3.xml><?xml version="1.0" encoding="utf-8"?>
<ds:datastoreItem xmlns:ds="http://schemas.openxmlformats.org/officeDocument/2006/customXml" ds:itemID="{9893C8DB-3F7B-4A08-8010-518359FAC3E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3 pdm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2018-02-23T20:08:10Z</dcterms:created>
  <dcterms:modified xsi:type="dcterms:W3CDTF">2018-03-09T06:34:04Z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3" name="ContentTypeId">
    <vt:lpwstr>0x010100B222DBE8FD646149959EC0415AA50120</vt:lpwstr>
  </property>
</Properties>
</file>