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demarco/Dropbox (Politecnico di Torino Staff)/1-Politecnico/Education/EduProjectMng/4-Polito_ProjectMng/Exams/"/>
    </mc:Choice>
  </mc:AlternateContent>
  <xr:revisionPtr revIDLastSave="0" documentId="13_ncr:1_{FAE9EA88-C817-1749-9E6A-069092E5BDA1}" xr6:coauthVersionLast="34" xr6:coauthVersionMax="40" xr10:uidLastSave="{00000000-0000-0000-0000-000000000000}"/>
  <bookViews>
    <workbookView xWindow="9180" yWindow="3100" windowWidth="19620" windowHeight="14900" xr2:uid="{BDB34098-02F7-8146-A1B5-164C1DBF8784}"/>
  </bookViews>
  <sheets>
    <sheet name="1" sheetId="1" r:id="rId1"/>
    <sheet name="2" sheetId="3" r:id="rId2"/>
    <sheet name="3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B15" i="1"/>
  <c r="H14" i="1"/>
  <c r="B10" i="1"/>
  <c r="I3" i="1"/>
  <c r="I4" i="1"/>
  <c r="I2" i="1"/>
  <c r="B34" i="2"/>
  <c r="H13" i="2"/>
  <c r="H18" i="3" l="1"/>
  <c r="H19" i="3"/>
  <c r="H20" i="3"/>
  <c r="H21" i="3"/>
  <c r="H22" i="3"/>
  <c r="G26" i="3"/>
  <c r="G25" i="3"/>
  <c r="H35" i="3"/>
  <c r="H41" i="3" s="1"/>
  <c r="H43" i="3" s="1"/>
  <c r="H34" i="3"/>
  <c r="H33" i="3"/>
  <c r="H29" i="3"/>
  <c r="H42" i="3" s="1"/>
  <c r="H28" i="3"/>
  <c r="H36" i="3" l="1"/>
  <c r="H44" i="3" s="1"/>
  <c r="H31" i="3"/>
  <c r="H37" i="3"/>
  <c r="H30" i="3"/>
  <c r="K19" i="2"/>
  <c r="G16" i="2"/>
  <c r="F16" i="2"/>
  <c r="E8" i="2"/>
  <c r="E14" i="2"/>
  <c r="E16" i="2"/>
  <c r="H15" i="2"/>
  <c r="I19" i="2"/>
  <c r="B32" i="2" l="1"/>
  <c r="B31" i="2"/>
  <c r="C23" i="2"/>
  <c r="C33" i="2"/>
  <c r="K17" i="2"/>
  <c r="K16" i="2"/>
  <c r="C25" i="2" s="1"/>
  <c r="K15" i="2"/>
  <c r="K14" i="2"/>
  <c r="I14" i="2"/>
  <c r="K13" i="2"/>
  <c r="I13" i="2"/>
  <c r="F11" i="2"/>
  <c r="G11" i="2" s="1"/>
  <c r="E11" i="2"/>
  <c r="F10" i="2"/>
  <c r="G10" i="2" s="1"/>
  <c r="E10" i="2"/>
  <c r="F9" i="2"/>
  <c r="G9" i="2" s="1"/>
  <c r="E9" i="2"/>
  <c r="F8" i="2"/>
  <c r="G8" i="2" s="1"/>
  <c r="F7" i="2"/>
  <c r="G7" i="2" s="1"/>
  <c r="E7" i="2"/>
  <c r="F6" i="2"/>
  <c r="G6" i="2" s="1"/>
  <c r="E6" i="2"/>
  <c r="G5" i="2"/>
  <c r="F5" i="2"/>
  <c r="E5" i="2"/>
  <c r="F4" i="2"/>
  <c r="G4" i="2" s="1"/>
  <c r="E4" i="2"/>
  <c r="F3" i="2"/>
  <c r="G3" i="2" s="1"/>
  <c r="E3" i="2"/>
  <c r="F2" i="2"/>
  <c r="G2" i="2" s="1"/>
  <c r="E2" i="2"/>
  <c r="E13" i="2" s="1"/>
  <c r="G13" i="2" l="1"/>
  <c r="F13" i="2" s="1"/>
  <c r="J13" i="2" s="1"/>
  <c r="E17" i="2"/>
  <c r="C31" i="2"/>
  <c r="C32" i="2" s="1"/>
  <c r="J16" i="2"/>
  <c r="G15" i="2"/>
  <c r="F15" i="2" s="1"/>
  <c r="H16" i="2"/>
  <c r="G14" i="2"/>
  <c r="F14" i="2" s="1"/>
  <c r="C24" i="2"/>
  <c r="B26" i="2" s="1"/>
  <c r="G17" i="2"/>
  <c r="F17" i="2" s="1"/>
  <c r="J17" i="2" s="1"/>
  <c r="E15" i="2"/>
  <c r="J14" i="2" l="1"/>
  <c r="H14" i="2"/>
  <c r="H17" i="2"/>
  <c r="J15" i="2"/>
  <c r="F21" i="1"/>
  <c r="F18" i="1"/>
  <c r="C10" i="1"/>
  <c r="D21" i="1" s="1"/>
  <c r="B21" i="1"/>
  <c r="E21" i="1" s="1"/>
  <c r="B14" i="1"/>
  <c r="E14" i="1" s="1"/>
  <c r="G3" i="1"/>
  <c r="G4" i="1"/>
  <c r="G5" i="1"/>
  <c r="G6" i="1"/>
  <c r="G7" i="1"/>
  <c r="G8" i="1"/>
  <c r="G9" i="1"/>
  <c r="G2" i="1"/>
  <c r="F3" i="1"/>
  <c r="J3" i="1" s="1"/>
  <c r="F4" i="1"/>
  <c r="I10" i="1" s="1"/>
  <c r="D14" i="1" s="1"/>
  <c r="F5" i="1"/>
  <c r="J5" i="1" s="1"/>
  <c r="F6" i="1"/>
  <c r="F7" i="1"/>
  <c r="F8" i="1"/>
  <c r="F9" i="1"/>
  <c r="F2" i="1"/>
  <c r="J2" i="1" s="1"/>
  <c r="G14" i="1" l="1"/>
  <c r="D18" i="1"/>
  <c r="G18" i="1"/>
  <c r="G21" i="1"/>
  <c r="H21" i="1" s="1"/>
  <c r="I21" i="1" s="1"/>
  <c r="J21" i="1" s="1"/>
  <c r="B18" i="1"/>
  <c r="E18" i="1" s="1"/>
  <c r="I14" i="1"/>
  <c r="J14" i="1" s="1"/>
  <c r="J4" i="1"/>
  <c r="H18" i="1" l="1"/>
  <c r="I18" i="1" s="1"/>
  <c r="J18" i="1" s="1"/>
</calcChain>
</file>

<file path=xl/sharedStrings.xml><?xml version="1.0" encoding="utf-8"?>
<sst xmlns="http://schemas.openxmlformats.org/spreadsheetml/2006/main" count="200" uniqueCount="173">
  <si>
    <t xml:space="preserve">Task </t>
  </si>
  <si>
    <r>
      <t xml:space="preserve">Original Duration </t>
    </r>
    <r>
      <rPr>
        <i/>
        <sz val="12"/>
        <color theme="1"/>
        <rFont val="Times New Roman"/>
        <family val="1"/>
      </rPr>
      <t>[days]</t>
    </r>
  </si>
  <si>
    <t>Original Budgeted Cost [€]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</si>
  <si>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</si>
  <si>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</si>
  <si>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</si>
  <si>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</si>
  <si>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</si>
  <si>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</si>
  <si>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</si>
  <si>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 xml:space="preserve">H </t>
  </si>
  <si>
    <t>WS</t>
  </si>
  <si>
    <t>ACWP</t>
  </si>
  <si>
    <t>WP</t>
  </si>
  <si>
    <t>BCWP</t>
  </si>
  <si>
    <t>BCWS</t>
  </si>
  <si>
    <t>CI</t>
  </si>
  <si>
    <t>SI</t>
  </si>
  <si>
    <t>path ADGH</t>
  </si>
  <si>
    <t>path BCEF</t>
  </si>
  <si>
    <t>teac</t>
  </si>
  <si>
    <t>critical</t>
  </si>
  <si>
    <t>CEAC</t>
  </si>
  <si>
    <t>OPTION 1 - DO NOTHING</t>
  </si>
  <si>
    <t>oh</t>
  </si>
  <si>
    <t>fixed fee</t>
  </si>
  <si>
    <t>target cost</t>
  </si>
  <si>
    <t>price</t>
  </si>
  <si>
    <t>profit</t>
  </si>
  <si>
    <t>ROC</t>
  </si>
  <si>
    <t>OPTION 2 - CRASH CRITICAL TO 46 ACCELERATE D</t>
  </si>
  <si>
    <t>Both paths critical</t>
  </si>
  <si>
    <t>OPTION 3 - CRASH BOTH PATHS ACCELERATE D, F, G</t>
  </si>
  <si>
    <t>BEST</t>
  </si>
  <si>
    <t>second-best</t>
  </si>
  <si>
    <t>tough little marginal advantag</t>
  </si>
  <si>
    <t>Task (AON)</t>
  </si>
  <si>
    <t>Optimistic duration [weeks]</t>
  </si>
  <si>
    <t>Most likely</t>
  </si>
  <si>
    <t>Pessimistic duration</t>
  </si>
  <si>
    <t>e</t>
  </si>
  <si>
    <t>d</t>
  </si>
  <si>
    <t>V</t>
  </si>
  <si>
    <t>z</t>
  </si>
  <si>
    <t>p</t>
  </si>
  <si>
    <t>1-2</t>
  </si>
  <si>
    <t>1-3</t>
  </si>
  <si>
    <t>1-4</t>
  </si>
  <si>
    <t>2-6</t>
  </si>
  <si>
    <t>3-6</t>
  </si>
  <si>
    <t>3-7</t>
  </si>
  <si>
    <t>3-5</t>
  </si>
  <si>
    <t>4-5</t>
  </si>
  <si>
    <t>5-7</t>
  </si>
  <si>
    <t>6-7</t>
  </si>
  <si>
    <t>less than</t>
  </si>
  <si>
    <t>more than</t>
  </si>
  <si>
    <t>1-2-6-7</t>
  </si>
  <si>
    <t>P1</t>
  </si>
  <si>
    <t>1-3-6-7</t>
  </si>
  <si>
    <t>P2</t>
  </si>
  <si>
    <t>1-3-7</t>
  </si>
  <si>
    <t>P3</t>
  </si>
  <si>
    <t>1-3-5-7</t>
  </si>
  <si>
    <t>P4</t>
  </si>
  <si>
    <t>1-4-5-7</t>
  </si>
  <si>
    <t>P5</t>
  </si>
  <si>
    <t>P1*P2*P3*P4*P5</t>
  </si>
  <si>
    <t>CRITICAL PATH ONLY</t>
  </si>
  <si>
    <t>decision tree</t>
  </si>
  <si>
    <t>status</t>
  </si>
  <si>
    <t>outcome</t>
  </si>
  <si>
    <t>likelihood</t>
  </si>
  <si>
    <t>utility</t>
  </si>
  <si>
    <t>S1</t>
  </si>
  <si>
    <t>S2</t>
  </si>
  <si>
    <t>S3</t>
  </si>
  <si>
    <t>average</t>
  </si>
  <si>
    <t>&gt;0</t>
  </si>
  <si>
    <t>positive, bid</t>
  </si>
  <si>
    <t>MERGE NODE BIAS</t>
  </si>
  <si>
    <t>Project charter standard outline</t>
  </si>
  <si>
    <t>1.</t>
  </si>
  <si>
    <t>Cover page</t>
  </si>
  <si>
    <t>2.</t>
  </si>
  <si>
    <t>Context</t>
  </si>
  <si>
    <t>3.</t>
  </si>
  <si>
    <t>Metrics</t>
  </si>
  <si>
    <t>4.</t>
  </si>
  <si>
    <t>CARDS</t>
  </si>
  <si>
    <t>What</t>
  </si>
  <si>
    <t>Why</t>
  </si>
  <si>
    <t>How</t>
  </si>
  <si>
    <t>Description - Short textual description (max 200 words) in a executive summary format</t>
  </si>
  <si>
    <t>5.</t>
  </si>
  <si>
    <t>Scope</t>
  </si>
  <si>
    <t>Key Stakeholders</t>
  </si>
  <si>
    <t>Key Milestones</t>
  </si>
  <si>
    <t>Project Budget</t>
  </si>
  <si>
    <t>Project Revenues</t>
  </si>
  <si>
    <t>Constraints</t>
  </si>
  <si>
    <t>Assumptions</t>
  </si>
  <si>
    <t>Risks</t>
  </si>
  <si>
    <t>Dependencies</t>
  </si>
  <si>
    <t>Critical Specifics</t>
  </si>
  <si>
    <t>Goals:</t>
  </si>
  <si>
    <t>[name of project]</t>
  </si>
  <si>
    <t>Approval procedure:</t>
  </si>
  <si>
    <t>Background - [Why is the project being undertaken?]</t>
  </si>
  <si>
    <t>Provide a conventional ID for future doc management</t>
  </si>
  <si>
    <t>Provide a conventional synopsis for future doc management</t>
  </si>
  <si>
    <t>Highlight key RACI elements and proedural routing</t>
  </si>
  <si>
    <t>Understand perspective</t>
  </si>
  <si>
    <t>Facilitate project planning and benefit realization</t>
  </si>
  <si>
    <t>Weight</t>
  </si>
  <si>
    <t>as per 2018-PMTermProject_Project_charter_Howto.doc available in course material</t>
  </si>
  <si>
    <t>Cday2019</t>
  </si>
  <si>
    <t>organizing the Career Day for graduate students at PoliTo, an event aimed at promoting the job matching between students and companies's recruters</t>
  </si>
  <si>
    <t>R = The PM (you) as an internal appointee</t>
  </si>
  <si>
    <t>A = Servizio Gestione Carriere Studenti</t>
  </si>
  <si>
    <t>I = Delegata del Rettore per gli Alumni e l'Accompagnamento al Lavoro, Vice Rettore per la Didattica, Vice Rettrice per il Trasferimento Tecnologico</t>
  </si>
  <si>
    <t>Increase employability ranking</t>
  </si>
  <si>
    <t>C = Students' bodies and associations, Servizio logistica</t>
  </si>
  <si>
    <t>Promote TT through internships and enterprise thesis</t>
  </si>
  <si>
    <t>Companies representation &gt; 20</t>
  </si>
  <si>
    <t>Graduate showoff rate &gt; 20% (=20% * 7000 = 1400)</t>
  </si>
  <si>
    <t>finalizing contracts with employers and organizations, setting up on-campus facilities, arrange for refreshments, hire an opening guest speaker, prepare publicity materials and promote the event among students and interested parties.</t>
  </si>
  <si>
    <t>Kick off</t>
  </si>
  <si>
    <t>Direct costs</t>
  </si>
  <si>
    <r>
      <t>Staff = 6*50%* 176 * 1,2 * 55</t>
    </r>
    <r>
      <rPr>
        <strike/>
        <sz val="12"/>
        <color theme="1"/>
        <rFont val="Calibri"/>
        <family val="2"/>
        <scheme val="minor"/>
      </rPr>
      <t xml:space="preserve">€ </t>
    </r>
    <r>
      <rPr>
        <sz val="12"/>
        <color theme="1"/>
        <rFont val="Calibri"/>
        <family val="2"/>
        <scheme val="minor"/>
      </rPr>
      <t xml:space="preserve">= </t>
    </r>
  </si>
  <si>
    <t xml:space="preserve">Vendors = 1500/20*3*8*1,2*35€ = </t>
  </si>
  <si>
    <t>OH</t>
  </si>
  <si>
    <t>Total budget</t>
  </si>
  <si>
    <t>25% of approved DC budget</t>
  </si>
  <si>
    <t>say</t>
  </si>
  <si>
    <t>Companies grants</t>
  </si>
  <si>
    <t>Internal funds</t>
  </si>
  <si>
    <t>20*2000€</t>
  </si>
  <si>
    <t>1400*15€</t>
  </si>
  <si>
    <t>Total revenues</t>
  </si>
  <si>
    <t>Fixed date</t>
  </si>
  <si>
    <t>Attendance</t>
  </si>
  <si>
    <t>EMV</t>
  </si>
  <si>
    <t>Revenue side = underparticipation p=80% i=20% of revenues</t>
  </si>
  <si>
    <t>Vendors' overcost due to accelerated procurement (p 50%, i=30%)</t>
  </si>
  <si>
    <t>Total contingency</t>
  </si>
  <si>
    <t>Margin (pre risk)</t>
  </si>
  <si>
    <t>Margin (@risk)</t>
  </si>
  <si>
    <t>Employer / students agreements &gt; 20*3 = 60</t>
  </si>
  <si>
    <t>Other events in the Career Days programme</t>
  </si>
  <si>
    <t>Project failure triggers</t>
  </si>
  <si>
    <t>Organizational assets</t>
  </si>
  <si>
    <t>Students, Companies, Rectorate, PoliTO's administrative departments, Rectorate, Faculty and Departments, Vendors</t>
  </si>
  <si>
    <t>Delivery system</t>
  </si>
  <si>
    <t>Duration</t>
  </si>
  <si>
    <t>eDays</t>
  </si>
  <si>
    <t>Start</t>
  </si>
  <si>
    <t>End</t>
  </si>
  <si>
    <t>wDays</t>
  </si>
  <si>
    <t>Draft Contents</t>
  </si>
  <si>
    <t>Organizational PM weak matrix, DBB</t>
  </si>
  <si>
    <t>finalizing vendor's agreements</t>
  </si>
  <si>
    <t>pre-occupation review</t>
  </si>
  <si>
    <t>event (fixed date)</t>
  </si>
  <si>
    <t>approval of proj mng plan</t>
  </si>
  <si>
    <t>1a.</t>
  </si>
  <si>
    <t>Data and documents from previous events</t>
  </si>
  <si>
    <t>PoliTo's own sources of funding</t>
  </si>
  <si>
    <t>total work</t>
  </si>
  <si>
    <t>TBD</t>
  </si>
  <si>
    <t>Highlight Critical Success Factors</t>
  </si>
  <si>
    <t>ROS (or ROC)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</si>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</sst>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0.0%"/>
    <numFmt numFmtId="167" formatCode="_(* #,##0_);_(* \(#,##0\);_(* &quot;-&quot;??_);_(@_)"/>
    <numFmt numFmtId="168" formatCode="0.0"/>
    <numFmt numFmtId="169" formatCode="_-* #,##0.000_-;\-* #,##0.000_-;_-* &quot;-&quot;??_-;_-@_-"/>
    <numFmt numFmtId="170" formatCode="0.0000000000%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"/>
      <family val="1"/>
    </font>
    <font>
      <i/>
      <sz val="12"/>
      <color theme="1"/>
      <name val="Times New Roman"/>
      <family val="1"/>
    </font>
    <font>
      <sz val="12"/>
      <color theme="1"/>
      <name val="Times"/>
      <family val="1"/>
    </font>
    <font>
      <sz val="11"/>
      <color theme="1"/>
      <name val="Arial Narrow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2" borderId="0" applyNumberFormat="0" applyBorder="0" applyAlignment="0" applyProtection="0"/>
    <xf numFmtId="0" fontId="1" fillId="3" borderId="0" applyNumberFormat="0" applyBorder="0" applyAlignment="0" applyProtection="0"/>
  </cellStyleXfs>
  <cellXfs count="74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3" fontId="0" fillId="0" borderId="0" xfId="0" applyNumberFormat="1"/>
    <xf numFmtId="3" fontId="6" fillId="0" borderId="0" xfId="0" applyNumberFormat="1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/>
    <xf numFmtId="166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4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/>
    </xf>
    <xf numFmtId="167" fontId="0" fillId="0" borderId="0" xfId="0" applyNumberFormat="1"/>
    <xf numFmtId="10" fontId="0" fillId="0" borderId="0" xfId="2" applyNumberFormat="1" applyFont="1"/>
    <xf numFmtId="0" fontId="7" fillId="0" borderId="6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6" xfId="0" quotePrefix="1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168" fontId="0" fillId="0" borderId="0" xfId="0" applyNumberFormat="1"/>
    <xf numFmtId="0" fontId="7" fillId="0" borderId="10" xfId="0" quotePrefix="1" applyFont="1" applyBorder="1" applyAlignment="1">
      <alignment horizontal="justify" vertical="center" wrapText="1"/>
    </xf>
    <xf numFmtId="0" fontId="8" fillId="0" borderId="0" xfId="0" applyFont="1" applyAlignment="1">
      <alignment horizontal="right" indent="1"/>
    </xf>
    <xf numFmtId="165" fontId="9" fillId="0" borderId="0" xfId="3"/>
    <xf numFmtId="169" fontId="0" fillId="0" borderId="0" xfId="0" applyNumberFormat="1"/>
    <xf numFmtId="165" fontId="0" fillId="0" borderId="0" xfId="3" applyFont="1"/>
    <xf numFmtId="14" fontId="0" fillId="0" borderId="0" xfId="0" quotePrefix="1" applyNumberFormat="1"/>
    <xf numFmtId="0" fontId="10" fillId="0" borderId="0" xfId="0" applyFont="1"/>
    <xf numFmtId="165" fontId="10" fillId="0" borderId="0" xfId="3" applyFont="1"/>
    <xf numFmtId="169" fontId="10" fillId="0" borderId="0" xfId="0" applyNumberFormat="1" applyFont="1"/>
    <xf numFmtId="10" fontId="10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10" fontId="0" fillId="0" borderId="0" xfId="4" applyNumberFormat="1" applyFont="1"/>
    <xf numFmtId="170" fontId="0" fillId="0" borderId="0" xfId="4" applyNumberFormat="1" applyFont="1"/>
    <xf numFmtId="168" fontId="10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64" fontId="0" fillId="0" borderId="0" xfId="5" applyFont="1" applyAlignment="1">
      <alignment vertical="top"/>
    </xf>
    <xf numFmtId="164" fontId="0" fillId="0" borderId="0" xfId="0" applyNumberFormat="1" applyAlignment="1">
      <alignment vertical="top"/>
    </xf>
    <xf numFmtId="9" fontId="0" fillId="0" borderId="0" xfId="2" applyFont="1" applyAlignment="1">
      <alignment vertical="top"/>
    </xf>
    <xf numFmtId="0" fontId="0" fillId="4" borderId="0" xfId="0" applyFill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  <xf numFmtId="164" fontId="14" fillId="0" borderId="0" xfId="5" applyFont="1" applyAlignment="1">
      <alignment vertical="top"/>
    </xf>
    <xf numFmtId="164" fontId="14" fillId="0" borderId="0" xfId="0" applyNumberFormat="1" applyFont="1" applyAlignment="1">
      <alignment vertical="top"/>
    </xf>
    <xf numFmtId="0" fontId="11" fillId="2" borderId="0" xfId="6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0" fontId="1" fillId="3" borderId="0" xfId="7" applyAlignment="1">
      <alignment vertical="top"/>
    </xf>
    <xf numFmtId="0" fontId="1" fillId="3" borderId="0" xfId="7" applyAlignment="1">
      <alignment vertical="top" wrapText="1"/>
    </xf>
    <xf numFmtId="0" fontId="15" fillId="0" borderId="0" xfId="0" applyFont="1" applyAlignment="1">
      <alignment vertical="top" wrapText="1"/>
    </xf>
    <xf numFmtId="0" fontId="13" fillId="0" borderId="0" xfId="0" applyFont="1" applyAlignment="1">
      <alignment horizontal="right" vertical="top" wrapText="1"/>
    </xf>
    <xf numFmtId="164" fontId="15" fillId="0" borderId="0" xfId="5" applyFont="1" applyAlignment="1">
      <alignment vertical="top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8">
    <cellStyle name="20% - Accent6" xfId="7" builtinId="50"/>
    <cellStyle name="Accent1" xfId="6" builtinId="29"/>
    <cellStyle name="Comma" xfId="1" builtinId="3"/>
    <cellStyle name="Comma 2" xfId="3" xr:uid="{F8C5B5F6-BBB9-894C-840F-108CC5D23F68}"/>
    <cellStyle name="Currency" xfId="5" builtinId="4"/>
    <cellStyle name="Normal" xfId="0" builtinId="0"/>
    <cellStyle name="Percent" xfId="2" builtinId="5"/>
    <cellStyle name="Percent 2" xfId="4" xr:uid="{9D1F830C-16F7-4048-943C-DC06F49156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/var/folders/n1/snlvwfcx5rv1cqfwyml5xm580000gn/T/com.microsoft.Word/WebArchiveCopyPasteTempFiles/page30image5813136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12700</xdr:colOff>
      <xdr:row>8</xdr:row>
      <xdr:rowOff>12700</xdr:rowOff>
    </xdr:to>
    <xdr:pic>
      <xdr:nvPicPr>
        <xdr:cNvPr id="2" name="Picture 33" descr="page30image5813136">
          <a:extLst>
            <a:ext uri="{FF2B5EF4-FFF2-40B4-BE49-F238E27FC236}">
              <a16:creationId xmlns:a16="http://schemas.microsoft.com/office/drawing/2014/main" id="{3992BB3E-32A0-FC44-B77F-E208327F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0C8-0E08-0542-A41C-EDAEC174E313}">
  <dimension ref="A1:M21"/>
  <sheetViews>
    <sheetView tabSelected="1" zoomScale="140" zoomScaleNormal="140" workbookViewId="0">
      <selection activeCell="B14" sqref="B14"/>
    </sheetView>
  </sheetViews>
  <sheetFormatPr baseColWidth="10" defaultColWidth="11.1640625" defaultRowHeight="16" x14ac:dyDescent="0.2"/>
  <cols>
    <col min="4" max="4" width="11.5" bestFit="1" customWidth="1"/>
    <col min="8" max="8" width="11.5" bestFit="1" customWidth="1"/>
  </cols>
  <sheetData>
    <row r="1" spans="1:13" ht="50" thickTop="1" thickBot="1" x14ac:dyDescent="0.25">
      <c r="A1" s="1" t="s">
        <v>0</v>
      </c>
      <c r="B1" s="2" t="s">
        <v>1</v>
      </c>
      <c r="C1" s="2" t="s">
        <v>2</v>
      </c>
      <c r="D1" s="10" t="s">
        <v>11</v>
      </c>
      <c r="E1" s="10" t="s">
        <v>13</v>
      </c>
      <c r="F1" s="2" t="s">
        <v>14</v>
      </c>
      <c r="G1" s="2" t="s">
        <v>15</v>
      </c>
      <c r="H1" s="10" t="s">
        <v>12</v>
      </c>
      <c r="I1" s="10" t="s">
        <v>16</v>
      </c>
      <c r="J1" s="10" t="s">
        <v>17</v>
      </c>
    </row>
    <row r="2" spans="1:13" x14ac:dyDescent="0.2">
      <c r="A2" s="3" t="s">
        <v>3</v>
      </c>
      <c r="B2" s="4">
        <v>13</v>
      </c>
      <c r="C2" s="6">
        <v>12000</v>
      </c>
      <c r="D2" s="11">
        <v>1</v>
      </c>
      <c r="E2" s="11">
        <v>1</v>
      </c>
      <c r="F2" s="6">
        <f>E2*C2</f>
        <v>12000</v>
      </c>
      <c r="G2" s="6">
        <f>C2*D2</f>
        <v>12000</v>
      </c>
      <c r="H2" s="6">
        <v>15000</v>
      </c>
      <c r="I2" s="14">
        <f>F2/H2</f>
        <v>0.8</v>
      </c>
      <c r="J2">
        <f>F2/G2</f>
        <v>1</v>
      </c>
    </row>
    <row r="3" spans="1:13" x14ac:dyDescent="0.2">
      <c r="A3" s="3" t="s">
        <v>4</v>
      </c>
      <c r="B3" s="4">
        <v>8</v>
      </c>
      <c r="C3" s="6">
        <v>16000</v>
      </c>
      <c r="D3" s="11">
        <v>1</v>
      </c>
      <c r="E3" s="11">
        <v>1</v>
      </c>
      <c r="F3" s="6">
        <f t="shared" ref="F3:F9" si="0">E3*C3</f>
        <v>16000</v>
      </c>
      <c r="G3" s="6">
        <f t="shared" ref="G3:G9" si="1">C3*D3</f>
        <v>16000</v>
      </c>
      <c r="H3" s="6">
        <v>18000</v>
      </c>
      <c r="I3" s="14">
        <f t="shared" ref="I3:I5" si="2">F3/H3</f>
        <v>0.88888888888888884</v>
      </c>
      <c r="J3">
        <f t="shared" ref="J3:J5" si="3">F3/G3</f>
        <v>1</v>
      </c>
    </row>
    <row r="4" spans="1:13" x14ac:dyDescent="0.2">
      <c r="A4" s="3" t="s">
        <v>5</v>
      </c>
      <c r="B4" s="4">
        <v>16</v>
      </c>
      <c r="C4" s="6">
        <v>22000</v>
      </c>
      <c r="D4" s="12">
        <v>0.7</v>
      </c>
      <c r="E4" s="11">
        <v>0.56000000000000005</v>
      </c>
      <c r="F4" s="6">
        <f t="shared" si="0"/>
        <v>12320.000000000002</v>
      </c>
      <c r="G4" s="6">
        <f t="shared" si="1"/>
        <v>15399.999999999998</v>
      </c>
      <c r="H4" s="18">
        <v>14747.5</v>
      </c>
      <c r="I4" s="14">
        <f t="shared" si="2"/>
        <v>0.83539582980166138</v>
      </c>
      <c r="J4" s="14">
        <f t="shared" si="3"/>
        <v>0.80000000000000027</v>
      </c>
    </row>
    <row r="5" spans="1:13" x14ac:dyDescent="0.2">
      <c r="A5" s="3" t="s">
        <v>6</v>
      </c>
      <c r="B5" s="4">
        <v>12</v>
      </c>
      <c r="C5" s="6">
        <v>17000</v>
      </c>
      <c r="D5" s="12">
        <v>0.54</v>
      </c>
      <c r="E5" s="11">
        <v>0</v>
      </c>
      <c r="F5" s="6">
        <f t="shared" si="0"/>
        <v>0</v>
      </c>
      <c r="G5" s="6">
        <f t="shared" si="1"/>
        <v>9180</v>
      </c>
      <c r="J5">
        <f t="shared" si="3"/>
        <v>0</v>
      </c>
    </row>
    <row r="6" spans="1:13" x14ac:dyDescent="0.2">
      <c r="A6" s="3" t="s">
        <v>7</v>
      </c>
      <c r="B6" s="4">
        <v>4</v>
      </c>
      <c r="C6" s="6">
        <v>22000</v>
      </c>
      <c r="D6" s="11">
        <v>0</v>
      </c>
      <c r="E6" s="11">
        <v>0</v>
      </c>
      <c r="F6" s="6">
        <f t="shared" si="0"/>
        <v>0</v>
      </c>
      <c r="G6" s="6">
        <f t="shared" si="1"/>
        <v>0</v>
      </c>
    </row>
    <row r="7" spans="1:13" x14ac:dyDescent="0.2">
      <c r="A7" s="3" t="s">
        <v>8</v>
      </c>
      <c r="B7" s="4">
        <v>14</v>
      </c>
      <c r="C7" s="6">
        <v>23000</v>
      </c>
      <c r="D7" s="11">
        <v>0</v>
      </c>
      <c r="E7" s="11">
        <v>0</v>
      </c>
      <c r="F7" s="6">
        <f t="shared" si="0"/>
        <v>0</v>
      </c>
      <c r="G7" s="6">
        <f t="shared" si="1"/>
        <v>0</v>
      </c>
    </row>
    <row r="8" spans="1:13" x14ac:dyDescent="0.2">
      <c r="A8" s="3" t="s">
        <v>9</v>
      </c>
      <c r="B8" s="4">
        <v>14</v>
      </c>
      <c r="C8" s="6">
        <v>21000</v>
      </c>
      <c r="D8" s="11">
        <v>0</v>
      </c>
      <c r="E8" s="11">
        <v>0</v>
      </c>
      <c r="F8" s="6">
        <f t="shared" si="0"/>
        <v>0</v>
      </c>
      <c r="G8" s="6">
        <f t="shared" si="1"/>
        <v>0</v>
      </c>
    </row>
    <row r="9" spans="1:13" ht="17" thickBot="1" x14ac:dyDescent="0.25">
      <c r="A9" s="7" t="s">
        <v>10</v>
      </c>
      <c r="B9" s="8">
        <v>3</v>
      </c>
      <c r="C9" s="9">
        <v>19000</v>
      </c>
      <c r="D9" s="11">
        <v>0</v>
      </c>
      <c r="E9" s="11">
        <v>0</v>
      </c>
      <c r="F9" s="9">
        <f t="shared" si="0"/>
        <v>0</v>
      </c>
      <c r="G9" s="9">
        <f t="shared" si="1"/>
        <v>0</v>
      </c>
    </row>
    <row r="10" spans="1:13" ht="17" thickTop="1" x14ac:dyDescent="0.2">
      <c r="B10">
        <f>B2+B5+B9+B8</f>
        <v>42</v>
      </c>
      <c r="C10" s="5">
        <f>SUM(C2:C9)</f>
        <v>152000</v>
      </c>
      <c r="I10">
        <f>SUM(F2:F9)/SUM(H2:H9)</f>
        <v>0.84444211738834496</v>
      </c>
    </row>
    <row r="11" spans="1:13" x14ac:dyDescent="0.2">
      <c r="A11" s="4" t="s">
        <v>24</v>
      </c>
      <c r="B11" s="4">
        <v>1000</v>
      </c>
      <c r="C11" s="5"/>
    </row>
    <row r="12" spans="1:13" x14ac:dyDescent="0.2">
      <c r="A12" s="19" t="s">
        <v>23</v>
      </c>
      <c r="C12" s="5"/>
    </row>
    <row r="13" spans="1:13" x14ac:dyDescent="0.2">
      <c r="B13" t="s">
        <v>20</v>
      </c>
      <c r="D13" t="s">
        <v>22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</row>
    <row r="14" spans="1:13" x14ac:dyDescent="0.2">
      <c r="A14" s="4" t="s">
        <v>18</v>
      </c>
      <c r="B14" s="16">
        <f>20+B5+B8+B9</f>
        <v>49</v>
      </c>
      <c r="C14" t="s">
        <v>21</v>
      </c>
      <c r="D14" s="17">
        <f>C10/I10</f>
        <v>180000.49603174604</v>
      </c>
      <c r="E14">
        <f>$B$11*B14</f>
        <v>49000</v>
      </c>
      <c r="F14">
        <v>100000</v>
      </c>
      <c r="G14" s="5">
        <f>$C$10</f>
        <v>152000</v>
      </c>
      <c r="H14" s="15">
        <f>D14-(D14-G14)*50%+F14</f>
        <v>266000.24801587302</v>
      </c>
      <c r="I14" s="15">
        <f>H14-E14-D14</f>
        <v>36999.751984126982</v>
      </c>
      <c r="J14" s="21">
        <f>I14/(D14+E14)</f>
        <v>0.16157061938851763</v>
      </c>
      <c r="K14" t="s">
        <v>34</v>
      </c>
      <c r="M14">
        <f>42/48</f>
        <v>0.875</v>
      </c>
    </row>
    <row r="15" spans="1:13" x14ac:dyDescent="0.2">
      <c r="A15" s="4" t="s">
        <v>19</v>
      </c>
      <c r="B15" s="15">
        <f>B3+B4/J4+B6+B7</f>
        <v>45.999999999999993</v>
      </c>
      <c r="J15" s="13"/>
    </row>
    <row r="16" spans="1:13" x14ac:dyDescent="0.2">
      <c r="J16" s="13"/>
    </row>
    <row r="17" spans="1:11" x14ac:dyDescent="0.2">
      <c r="A17" t="s">
        <v>30</v>
      </c>
      <c r="J17" s="13"/>
    </row>
    <row r="18" spans="1:11" x14ac:dyDescent="0.2">
      <c r="A18" t="s">
        <v>31</v>
      </c>
      <c r="B18" s="16">
        <f>B14-3</f>
        <v>46</v>
      </c>
      <c r="D18" s="17">
        <f>(C10+3000)/I10</f>
        <v>183553.13740079364</v>
      </c>
      <c r="E18">
        <f>B11*B18</f>
        <v>46000</v>
      </c>
      <c r="F18">
        <f>F14</f>
        <v>100000</v>
      </c>
      <c r="G18" s="5">
        <f>$C$10</f>
        <v>152000</v>
      </c>
      <c r="H18" s="15">
        <f>D18-(D18-G18)*50%+F18</f>
        <v>267776.56870039681</v>
      </c>
      <c r="I18" s="15">
        <f>H18-E18-D18</f>
        <v>38223.431299603166</v>
      </c>
      <c r="J18" s="21">
        <f>I18/(D18+E18)</f>
        <v>0.16651234538722978</v>
      </c>
      <c r="K18" t="s">
        <v>33</v>
      </c>
    </row>
    <row r="19" spans="1:11" x14ac:dyDescent="0.2">
      <c r="J19" s="13"/>
      <c r="K19" t="s">
        <v>35</v>
      </c>
    </row>
    <row r="20" spans="1:11" x14ac:dyDescent="0.2">
      <c r="A20" t="s">
        <v>32</v>
      </c>
      <c r="J20" s="13"/>
    </row>
    <row r="21" spans="1:11" x14ac:dyDescent="0.2">
      <c r="B21">
        <f>B10</f>
        <v>42</v>
      </c>
      <c r="D21" s="20">
        <f>(C10+15000)/I10</f>
        <v>197763.70287698411</v>
      </c>
      <c r="E21">
        <f>B11*B21</f>
        <v>42000</v>
      </c>
      <c r="F21">
        <f>F14</f>
        <v>100000</v>
      </c>
      <c r="G21" s="5">
        <f>$C$10</f>
        <v>152000</v>
      </c>
      <c r="H21" s="15">
        <f>D21-(D21-G21)*50%+F21</f>
        <v>274881.85143849207</v>
      </c>
      <c r="I21" s="15">
        <f>H21-E21-D21</f>
        <v>35118.148561507958</v>
      </c>
      <c r="J21" s="21">
        <f>I21/(D21+E21)</f>
        <v>0.14646982900295827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C800-5415-43AC-9644-497EE3D2A5DD}">
  <dimension ref="A1:H47"/>
  <sheetViews>
    <sheetView topLeftCell="G33" zoomScale="190" zoomScaleNormal="190" workbookViewId="0">
      <selection activeCell="G47" sqref="G47"/>
    </sheetView>
  </sheetViews>
  <sheetFormatPr baseColWidth="10" defaultColWidth="8.83203125" defaultRowHeight="16" x14ac:dyDescent="0.2"/>
  <cols>
    <col min="1" max="1" width="4.1640625" style="43" customWidth="1"/>
    <col min="2" max="2" width="10.1640625" style="43" bestFit="1" customWidth="1"/>
    <col min="3" max="3" width="4.6640625" style="43" bestFit="1" customWidth="1"/>
    <col min="4" max="4" width="33" style="44" customWidth="1"/>
    <col min="5" max="5" width="9" style="47" hidden="1" customWidth="1"/>
    <col min="6" max="6" width="32.33203125" style="44" customWidth="1"/>
    <col min="7" max="7" width="60.6640625" style="44" customWidth="1"/>
    <col min="8" max="8" width="12.1640625" style="43" bestFit="1" customWidth="1"/>
    <col min="9" max="16384" width="8.83203125" style="43"/>
  </cols>
  <sheetData>
    <row r="1" spans="1:7" x14ac:dyDescent="0.2">
      <c r="A1" s="43" t="s">
        <v>81</v>
      </c>
    </row>
    <row r="2" spans="1:7" ht="17" thickBot="1" x14ac:dyDescent="0.25">
      <c r="A2" s="66" t="s">
        <v>115</v>
      </c>
      <c r="B2" s="66"/>
      <c r="C2" s="66"/>
      <c r="D2" s="67"/>
      <c r="E2" s="68"/>
      <c r="F2" s="67"/>
    </row>
    <row r="3" spans="1:7" ht="17" thickBot="1" x14ac:dyDescent="0.25">
      <c r="A3" s="69" t="s">
        <v>90</v>
      </c>
      <c r="B3" s="69"/>
      <c r="C3" s="69" t="s">
        <v>92</v>
      </c>
      <c r="D3" s="69"/>
      <c r="E3" s="47" t="s">
        <v>114</v>
      </c>
      <c r="F3" s="46" t="s">
        <v>91</v>
      </c>
      <c r="G3" s="58" t="s">
        <v>159</v>
      </c>
    </row>
    <row r="4" spans="1:7" ht="32" x14ac:dyDescent="0.2">
      <c r="A4" s="43" t="s">
        <v>82</v>
      </c>
      <c r="B4" s="71" t="s">
        <v>83</v>
      </c>
      <c r="C4" s="43" t="s">
        <v>82</v>
      </c>
      <c r="D4" s="44" t="s">
        <v>106</v>
      </c>
      <c r="E4" s="70">
        <v>1</v>
      </c>
      <c r="F4" s="44" t="s">
        <v>109</v>
      </c>
      <c r="G4" s="44" t="s">
        <v>116</v>
      </c>
    </row>
    <row r="5" spans="1:7" ht="48" x14ac:dyDescent="0.2">
      <c r="B5" s="72"/>
      <c r="C5" s="43" t="s">
        <v>84</v>
      </c>
      <c r="D5" s="44" t="s">
        <v>93</v>
      </c>
      <c r="E5" s="70"/>
      <c r="F5" s="44" t="s">
        <v>110</v>
      </c>
      <c r="G5" s="44" t="s">
        <v>117</v>
      </c>
    </row>
    <row r="6" spans="1:7" x14ac:dyDescent="0.2">
      <c r="B6" s="72"/>
      <c r="C6" s="43" t="s">
        <v>86</v>
      </c>
      <c r="D6" s="44" t="s">
        <v>107</v>
      </c>
      <c r="E6" s="70"/>
      <c r="F6" s="73" t="s">
        <v>111</v>
      </c>
      <c r="G6" s="44" t="s">
        <v>118</v>
      </c>
    </row>
    <row r="7" spans="1:7" x14ac:dyDescent="0.2">
      <c r="B7" s="45"/>
      <c r="F7" s="73"/>
      <c r="G7" s="44" t="s">
        <v>119</v>
      </c>
    </row>
    <row r="8" spans="1:7" x14ac:dyDescent="0.2">
      <c r="B8" s="45"/>
      <c r="F8" s="73"/>
      <c r="G8" s="44" t="s">
        <v>122</v>
      </c>
    </row>
    <row r="9" spans="1:7" ht="48" x14ac:dyDescent="0.2">
      <c r="B9" s="45"/>
      <c r="F9" s="73"/>
      <c r="G9" s="44" t="s">
        <v>120</v>
      </c>
    </row>
    <row r="10" spans="1:7" ht="32" x14ac:dyDescent="0.2">
      <c r="A10" s="43" t="s">
        <v>84</v>
      </c>
      <c r="B10" s="72" t="s">
        <v>85</v>
      </c>
      <c r="C10" s="43" t="s">
        <v>82</v>
      </c>
      <c r="D10" s="44" t="s">
        <v>108</v>
      </c>
      <c r="E10" s="70">
        <v>1</v>
      </c>
      <c r="F10" s="44" t="s">
        <v>112</v>
      </c>
      <c r="G10" s="44" t="s">
        <v>121</v>
      </c>
    </row>
    <row r="11" spans="1:7" x14ac:dyDescent="0.2">
      <c r="B11" s="72"/>
      <c r="E11" s="70"/>
      <c r="G11" s="44" t="s">
        <v>123</v>
      </c>
    </row>
    <row r="12" spans="1:7" x14ac:dyDescent="0.2">
      <c r="B12" s="72"/>
      <c r="C12" s="43" t="s">
        <v>84</v>
      </c>
      <c r="D12" s="44" t="s">
        <v>105</v>
      </c>
      <c r="E12" s="70"/>
      <c r="F12" s="44" t="s">
        <v>170</v>
      </c>
      <c r="G12" s="44" t="s">
        <v>124</v>
      </c>
    </row>
    <row r="13" spans="1:7" x14ac:dyDescent="0.2">
      <c r="B13" s="72"/>
      <c r="E13" s="70"/>
      <c r="G13" s="44" t="s">
        <v>125</v>
      </c>
    </row>
    <row r="14" spans="1:7" x14ac:dyDescent="0.2">
      <c r="B14" s="72"/>
      <c r="E14" s="70"/>
      <c r="G14" s="44" t="s">
        <v>148</v>
      </c>
    </row>
    <row r="15" spans="1:7" ht="64" x14ac:dyDescent="0.2">
      <c r="B15" s="72"/>
      <c r="C15" s="43" t="s">
        <v>86</v>
      </c>
      <c r="D15" s="44" t="s">
        <v>95</v>
      </c>
      <c r="E15" s="70"/>
      <c r="F15" s="44" t="s">
        <v>113</v>
      </c>
      <c r="G15" s="44" t="s">
        <v>126</v>
      </c>
    </row>
    <row r="16" spans="1:7" ht="32" x14ac:dyDescent="0.2">
      <c r="B16" s="72"/>
      <c r="C16" s="43" t="s">
        <v>88</v>
      </c>
      <c r="D16" s="44" t="s">
        <v>96</v>
      </c>
      <c r="E16" s="70"/>
      <c r="F16" s="44" t="s">
        <v>113</v>
      </c>
      <c r="G16" s="44" t="s">
        <v>152</v>
      </c>
    </row>
    <row r="17" spans="1:8" x14ac:dyDescent="0.2">
      <c r="B17" s="45"/>
      <c r="C17" s="61" t="s">
        <v>94</v>
      </c>
      <c r="D17" s="62" t="s">
        <v>153</v>
      </c>
      <c r="G17" s="54" t="s">
        <v>160</v>
      </c>
    </row>
    <row r="18" spans="1:8" x14ac:dyDescent="0.2">
      <c r="A18" s="43" t="s">
        <v>86</v>
      </c>
      <c r="B18" s="72" t="s">
        <v>87</v>
      </c>
      <c r="C18" s="43" t="s">
        <v>82</v>
      </c>
      <c r="D18" s="44" t="s">
        <v>97</v>
      </c>
      <c r="E18" s="70">
        <v>2</v>
      </c>
      <c r="G18" s="60" t="s">
        <v>127</v>
      </c>
      <c r="H18" s="59">
        <f>G23</f>
        <v>43466</v>
      </c>
    </row>
    <row r="19" spans="1:8" x14ac:dyDescent="0.2">
      <c r="B19" s="72"/>
      <c r="E19" s="70"/>
      <c r="G19" s="60" t="s">
        <v>164</v>
      </c>
      <c r="H19" s="59">
        <f>H20-14</f>
        <v>43549</v>
      </c>
    </row>
    <row r="20" spans="1:8" x14ac:dyDescent="0.2">
      <c r="B20" s="72"/>
      <c r="E20" s="70"/>
      <c r="G20" s="60" t="s">
        <v>161</v>
      </c>
      <c r="H20" s="59">
        <f>H21-7</f>
        <v>43563</v>
      </c>
    </row>
    <row r="21" spans="1:8" x14ac:dyDescent="0.2">
      <c r="B21" s="72"/>
      <c r="E21" s="70"/>
      <c r="G21" s="60" t="s">
        <v>162</v>
      </c>
      <c r="H21" s="59">
        <f>H22-7</f>
        <v>43570</v>
      </c>
    </row>
    <row r="22" spans="1:8" x14ac:dyDescent="0.2">
      <c r="B22" s="72"/>
      <c r="E22" s="70"/>
      <c r="G22" s="60" t="s">
        <v>163</v>
      </c>
      <c r="H22" s="59">
        <f>G24</f>
        <v>43577</v>
      </c>
    </row>
    <row r="23" spans="1:8" x14ac:dyDescent="0.2">
      <c r="B23" s="72"/>
      <c r="C23" s="43" t="s">
        <v>165</v>
      </c>
      <c r="D23" s="44" t="s">
        <v>154</v>
      </c>
      <c r="E23" s="70"/>
      <c r="F23" s="43" t="s">
        <v>156</v>
      </c>
      <c r="G23" s="55">
        <v>43466</v>
      </c>
    </row>
    <row r="24" spans="1:8" x14ac:dyDescent="0.2">
      <c r="B24" s="72"/>
      <c r="E24" s="70"/>
      <c r="F24" s="43" t="s">
        <v>157</v>
      </c>
      <c r="G24" s="55">
        <v>43577</v>
      </c>
    </row>
    <row r="25" spans="1:8" x14ac:dyDescent="0.2">
      <c r="B25" s="72"/>
      <c r="E25" s="70"/>
      <c r="F25" s="44" t="s">
        <v>155</v>
      </c>
      <c r="G25" s="44">
        <f>G24-G23</f>
        <v>111</v>
      </c>
    </row>
    <row r="26" spans="1:8" x14ac:dyDescent="0.2">
      <c r="B26" s="72"/>
      <c r="E26" s="70"/>
      <c r="F26" s="44" t="s">
        <v>158</v>
      </c>
      <c r="G26" s="44">
        <f>NETWORKDAYS.INTL(G23,G24,2)</f>
        <v>80</v>
      </c>
    </row>
    <row r="27" spans="1:8" x14ac:dyDescent="0.2">
      <c r="B27" s="72"/>
      <c r="E27" s="70"/>
      <c r="F27" s="44" t="s">
        <v>168</v>
      </c>
      <c r="G27" s="64" t="s">
        <v>169</v>
      </c>
    </row>
    <row r="28" spans="1:8" x14ac:dyDescent="0.2">
      <c r="B28" s="72"/>
      <c r="C28" s="43" t="s">
        <v>84</v>
      </c>
      <c r="D28" s="44" t="s">
        <v>98</v>
      </c>
      <c r="E28" s="70"/>
      <c r="F28" s="44" t="s">
        <v>128</v>
      </c>
      <c r="G28" s="44" t="s">
        <v>129</v>
      </c>
      <c r="H28" s="48">
        <f>6*0.5*176*1.2*55</f>
        <v>34848</v>
      </c>
    </row>
    <row r="29" spans="1:8" x14ac:dyDescent="0.2">
      <c r="B29" s="72"/>
      <c r="E29" s="70"/>
      <c r="G29" s="44" t="s">
        <v>130</v>
      </c>
      <c r="H29" s="48">
        <f>1500/20*3*1.2*35</f>
        <v>9450</v>
      </c>
    </row>
    <row r="30" spans="1:8" x14ac:dyDescent="0.2">
      <c r="B30" s="72"/>
      <c r="E30" s="70"/>
      <c r="F30" s="44" t="s">
        <v>131</v>
      </c>
      <c r="G30" s="44" t="s">
        <v>133</v>
      </c>
      <c r="H30" s="49">
        <f>0.25*SUM(H28:H29)</f>
        <v>11074.5</v>
      </c>
    </row>
    <row r="31" spans="1:8" x14ac:dyDescent="0.2">
      <c r="B31" s="72"/>
      <c r="E31" s="70"/>
      <c r="G31" s="44" t="s">
        <v>132</v>
      </c>
      <c r="H31" s="48">
        <f>SUM(H28:H30)</f>
        <v>55372.5</v>
      </c>
    </row>
    <row r="32" spans="1:8" x14ac:dyDescent="0.2">
      <c r="B32" s="72"/>
      <c r="E32" s="70"/>
      <c r="G32" s="44" t="s">
        <v>134</v>
      </c>
      <c r="H32" s="56">
        <v>55000</v>
      </c>
    </row>
    <row r="33" spans="1:8" x14ac:dyDescent="0.2">
      <c r="B33" s="72"/>
      <c r="C33" s="43" t="s">
        <v>86</v>
      </c>
      <c r="D33" s="44" t="s">
        <v>99</v>
      </c>
      <c r="E33" s="70"/>
      <c r="F33" s="44" t="s">
        <v>135</v>
      </c>
      <c r="G33" s="43" t="s">
        <v>137</v>
      </c>
      <c r="H33" s="48">
        <f>2000*20</f>
        <v>40000</v>
      </c>
    </row>
    <row r="34" spans="1:8" x14ac:dyDescent="0.2">
      <c r="B34" s="45"/>
      <c r="F34" s="44" t="s">
        <v>136</v>
      </c>
      <c r="G34" s="43" t="s">
        <v>138</v>
      </c>
      <c r="H34" s="48">
        <f>1400*15</f>
        <v>21000</v>
      </c>
    </row>
    <row r="35" spans="1:8" x14ac:dyDescent="0.2">
      <c r="B35" s="45"/>
      <c r="G35" s="43" t="s">
        <v>139</v>
      </c>
      <c r="H35" s="57">
        <f>SUM(H33:H34)</f>
        <v>61000</v>
      </c>
    </row>
    <row r="36" spans="1:8" x14ac:dyDescent="0.2">
      <c r="B36" s="45"/>
      <c r="G36" s="43" t="s">
        <v>146</v>
      </c>
      <c r="H36" s="49">
        <f>+H35-H32</f>
        <v>6000</v>
      </c>
    </row>
    <row r="37" spans="1:8" x14ac:dyDescent="0.2">
      <c r="B37" s="45"/>
      <c r="G37" s="43" t="s">
        <v>171</v>
      </c>
      <c r="H37" s="50">
        <f>(H35-H32)/H35</f>
        <v>9.8360655737704916E-2</v>
      </c>
    </row>
    <row r="38" spans="1:8" x14ac:dyDescent="0.2">
      <c r="A38" s="43" t="s">
        <v>88</v>
      </c>
      <c r="B38" s="72" t="s">
        <v>89</v>
      </c>
      <c r="C38" s="43" t="s">
        <v>82</v>
      </c>
      <c r="D38" s="44" t="s">
        <v>100</v>
      </c>
      <c r="E38" s="70">
        <v>2</v>
      </c>
      <c r="F38" s="44" t="s">
        <v>150</v>
      </c>
      <c r="G38" s="53" t="s">
        <v>140</v>
      </c>
    </row>
    <row r="39" spans="1:8" x14ac:dyDescent="0.2">
      <c r="B39" s="72"/>
      <c r="C39" s="43" t="s">
        <v>84</v>
      </c>
      <c r="D39" s="44" t="s">
        <v>101</v>
      </c>
      <c r="E39" s="70"/>
      <c r="G39" s="44" t="s">
        <v>141</v>
      </c>
    </row>
    <row r="40" spans="1:8" x14ac:dyDescent="0.2">
      <c r="B40" s="72"/>
      <c r="C40" s="43" t="s">
        <v>86</v>
      </c>
      <c r="D40" s="44" t="s">
        <v>102</v>
      </c>
      <c r="E40" s="70"/>
      <c r="G40" s="51"/>
      <c r="H40" s="52" t="s">
        <v>142</v>
      </c>
    </row>
    <row r="41" spans="1:8" x14ac:dyDescent="0.2">
      <c r="B41" s="72"/>
      <c r="E41" s="70"/>
      <c r="G41" s="44" t="s">
        <v>143</v>
      </c>
      <c r="H41" s="48">
        <f>-H35*0.8*0.2</f>
        <v>-9760</v>
      </c>
    </row>
    <row r="42" spans="1:8" x14ac:dyDescent="0.2">
      <c r="B42" s="72"/>
      <c r="E42" s="70"/>
      <c r="G42" s="44" t="s">
        <v>144</v>
      </c>
      <c r="H42" s="48">
        <f>-H29*0.5*0.3</f>
        <v>-1417.5</v>
      </c>
    </row>
    <row r="43" spans="1:8" x14ac:dyDescent="0.2">
      <c r="B43" s="72"/>
      <c r="E43" s="70"/>
      <c r="G43" s="44" t="s">
        <v>145</v>
      </c>
      <c r="H43" s="48">
        <f>SUM(H41:H42)</f>
        <v>-11177.5</v>
      </c>
    </row>
    <row r="44" spans="1:8" x14ac:dyDescent="0.2">
      <c r="B44" s="72"/>
      <c r="E44" s="70"/>
      <c r="G44" s="44" t="s">
        <v>147</v>
      </c>
      <c r="H44" s="65">
        <f>H36+H43</f>
        <v>-5177.5</v>
      </c>
    </row>
    <row r="45" spans="1:8" x14ac:dyDescent="0.2">
      <c r="B45" s="72"/>
      <c r="C45" s="43" t="s">
        <v>88</v>
      </c>
      <c r="D45" s="44" t="s">
        <v>103</v>
      </c>
      <c r="E45" s="70"/>
      <c r="G45" s="44" t="s">
        <v>149</v>
      </c>
    </row>
    <row r="46" spans="1:8" x14ac:dyDescent="0.2">
      <c r="B46" s="72"/>
      <c r="C46" s="43" t="s">
        <v>94</v>
      </c>
      <c r="D46" s="44" t="s">
        <v>104</v>
      </c>
      <c r="E46" s="70"/>
      <c r="F46" s="44" t="s">
        <v>151</v>
      </c>
      <c r="G46" s="54" t="s">
        <v>166</v>
      </c>
    </row>
    <row r="47" spans="1:8" x14ac:dyDescent="0.2">
      <c r="G47" s="63" t="s">
        <v>167</v>
      </c>
    </row>
  </sheetData>
  <mergeCells count="11">
    <mergeCell ref="F6:F9"/>
    <mergeCell ref="B38:B46"/>
    <mergeCell ref="E10:E16"/>
    <mergeCell ref="E18:E33"/>
    <mergeCell ref="E38:E46"/>
    <mergeCell ref="B18:B33"/>
    <mergeCell ref="A3:B3"/>
    <mergeCell ref="C3:D3"/>
    <mergeCell ref="E4:E6"/>
    <mergeCell ref="B4:B6"/>
    <mergeCell ref="B10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1972-E1FB-1B41-BCD5-32A508CDF240}">
  <sheetPr>
    <pageSetUpPr fitToPage="1"/>
  </sheetPr>
  <dimension ref="A1:L34"/>
  <sheetViews>
    <sheetView topLeftCell="A19" zoomScale="190" zoomScaleNormal="190" zoomScalePageLayoutView="220" workbookViewId="0">
      <selection activeCell="D35" sqref="D35"/>
    </sheetView>
  </sheetViews>
  <sheetFormatPr baseColWidth="10" defaultColWidth="11.1640625" defaultRowHeight="16" x14ac:dyDescent="0.2"/>
  <cols>
    <col min="9" max="9" width="16.1640625" bestFit="1" customWidth="1"/>
    <col min="11" max="11" width="15.1640625" bestFit="1" customWidth="1"/>
    <col min="12" max="12" width="16.1640625" bestFit="1" customWidth="1"/>
  </cols>
  <sheetData>
    <row r="1" spans="1:12" ht="43" thickBot="1" x14ac:dyDescent="0.25">
      <c r="A1" s="22" t="s">
        <v>36</v>
      </c>
      <c r="B1" s="23" t="s">
        <v>37</v>
      </c>
      <c r="C1" s="23" t="s">
        <v>38</v>
      </c>
      <c r="D1" s="23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</row>
    <row r="2" spans="1:12" ht="17" thickBot="1" x14ac:dyDescent="0.25">
      <c r="A2" s="25" t="s">
        <v>45</v>
      </c>
      <c r="B2" s="26">
        <v>5</v>
      </c>
      <c r="C2" s="26">
        <v>11</v>
      </c>
      <c r="D2" s="26">
        <v>11</v>
      </c>
      <c r="E2">
        <f>(B2+4*C2+D2)/6</f>
        <v>10</v>
      </c>
      <c r="F2" s="27">
        <f>(D2-B2)/6</f>
        <v>1</v>
      </c>
      <c r="G2" s="27">
        <f>F2^2</f>
        <v>1</v>
      </c>
    </row>
    <row r="3" spans="1:12" ht="17" thickBot="1" x14ac:dyDescent="0.25">
      <c r="A3" s="28" t="s">
        <v>46</v>
      </c>
      <c r="B3" s="26">
        <v>10</v>
      </c>
      <c r="C3" s="26">
        <v>10</v>
      </c>
      <c r="D3" s="26">
        <v>10</v>
      </c>
      <c r="E3">
        <f t="shared" ref="E3:E11" si="0">(B3+4*C3+D3)/6</f>
        <v>10</v>
      </c>
      <c r="F3" s="27">
        <f t="shared" ref="F3:F11" si="1">(D3-B3)/6</f>
        <v>0</v>
      </c>
      <c r="G3" s="27">
        <f t="shared" ref="G3:G11" si="2">F3^2</f>
        <v>0</v>
      </c>
    </row>
    <row r="4" spans="1:12" ht="17" thickBot="1" x14ac:dyDescent="0.25">
      <c r="A4" s="28" t="s">
        <v>47</v>
      </c>
      <c r="B4" s="26">
        <v>2</v>
      </c>
      <c r="C4" s="26">
        <v>5</v>
      </c>
      <c r="D4" s="26">
        <v>8</v>
      </c>
      <c r="E4">
        <f t="shared" si="0"/>
        <v>5</v>
      </c>
      <c r="F4" s="27">
        <f t="shared" si="1"/>
        <v>1</v>
      </c>
      <c r="G4" s="27">
        <f t="shared" si="2"/>
        <v>1</v>
      </c>
    </row>
    <row r="5" spans="1:12" ht="17" thickBot="1" x14ac:dyDescent="0.25">
      <c r="A5" s="28" t="s">
        <v>48</v>
      </c>
      <c r="B5" s="26">
        <v>1</v>
      </c>
      <c r="C5" s="26">
        <v>7</v>
      </c>
      <c r="D5" s="26">
        <v>13</v>
      </c>
      <c r="E5">
        <f t="shared" si="0"/>
        <v>7</v>
      </c>
      <c r="F5" s="27">
        <f t="shared" si="1"/>
        <v>2</v>
      </c>
      <c r="G5" s="27">
        <f t="shared" si="2"/>
        <v>4</v>
      </c>
    </row>
    <row r="6" spans="1:12" ht="17" thickBot="1" x14ac:dyDescent="0.25">
      <c r="A6" s="28" t="s">
        <v>49</v>
      </c>
      <c r="B6" s="26">
        <v>4</v>
      </c>
      <c r="C6" s="26">
        <v>4</v>
      </c>
      <c r="D6" s="26">
        <v>10</v>
      </c>
      <c r="E6">
        <f t="shared" si="0"/>
        <v>5</v>
      </c>
      <c r="F6" s="27">
        <f t="shared" si="1"/>
        <v>1</v>
      </c>
      <c r="G6" s="27">
        <f t="shared" si="2"/>
        <v>1</v>
      </c>
    </row>
    <row r="7" spans="1:12" ht="17" thickBot="1" x14ac:dyDescent="0.25">
      <c r="A7" s="28" t="s">
        <v>50</v>
      </c>
      <c r="B7" s="26">
        <v>4</v>
      </c>
      <c r="C7" s="26">
        <v>7</v>
      </c>
      <c r="D7" s="26">
        <v>16</v>
      </c>
      <c r="E7">
        <f t="shared" si="0"/>
        <v>8</v>
      </c>
      <c r="F7" s="27">
        <f t="shared" si="1"/>
        <v>2</v>
      </c>
      <c r="G7" s="27">
        <f t="shared" si="2"/>
        <v>4</v>
      </c>
    </row>
    <row r="8" spans="1:12" ht="17" thickBot="1" x14ac:dyDescent="0.25">
      <c r="A8" s="28" t="s">
        <v>51</v>
      </c>
      <c r="B8" s="26">
        <v>2</v>
      </c>
      <c r="C8" s="26">
        <v>2</v>
      </c>
      <c r="D8" s="26">
        <v>14</v>
      </c>
      <c r="E8">
        <f>(B8+4*C8+D8)/6</f>
        <v>4</v>
      </c>
      <c r="F8" s="27">
        <f t="shared" si="1"/>
        <v>2</v>
      </c>
      <c r="G8" s="27">
        <f t="shared" si="2"/>
        <v>4</v>
      </c>
    </row>
    <row r="9" spans="1:12" ht="17" thickBot="1" x14ac:dyDescent="0.25">
      <c r="A9" s="28" t="s">
        <v>52</v>
      </c>
      <c r="B9" s="26">
        <v>0</v>
      </c>
      <c r="C9" s="26">
        <v>6</v>
      </c>
      <c r="D9" s="26">
        <v>12</v>
      </c>
      <c r="E9">
        <f t="shared" si="0"/>
        <v>6</v>
      </c>
      <c r="F9" s="27">
        <f t="shared" si="1"/>
        <v>2</v>
      </c>
      <c r="G9" s="27">
        <f t="shared" si="2"/>
        <v>4</v>
      </c>
    </row>
    <row r="10" spans="1:12" ht="17" thickBot="1" x14ac:dyDescent="0.25">
      <c r="A10" s="28" t="s">
        <v>53</v>
      </c>
      <c r="B10" s="26">
        <v>2</v>
      </c>
      <c r="C10" s="26">
        <v>8</v>
      </c>
      <c r="D10" s="26">
        <v>14</v>
      </c>
      <c r="E10">
        <f t="shared" si="0"/>
        <v>8</v>
      </c>
      <c r="F10" s="27">
        <f t="shared" si="1"/>
        <v>2</v>
      </c>
      <c r="G10" s="27">
        <f t="shared" si="2"/>
        <v>4</v>
      </c>
    </row>
    <row r="11" spans="1:12" ht="17" thickBot="1" x14ac:dyDescent="0.25">
      <c r="A11" s="28" t="s">
        <v>54</v>
      </c>
      <c r="B11" s="26">
        <v>1</v>
      </c>
      <c r="C11" s="26">
        <v>4</v>
      </c>
      <c r="D11" s="26">
        <v>7</v>
      </c>
      <c r="E11">
        <f t="shared" si="0"/>
        <v>4</v>
      </c>
      <c r="F11" s="27">
        <f t="shared" si="1"/>
        <v>1</v>
      </c>
      <c r="G11" s="27">
        <f t="shared" si="2"/>
        <v>1</v>
      </c>
    </row>
    <row r="12" spans="1:12" x14ac:dyDescent="0.2">
      <c r="H12">
        <v>20</v>
      </c>
      <c r="I12" t="s">
        <v>55</v>
      </c>
      <c r="J12">
        <v>23</v>
      </c>
      <c r="K12" t="s">
        <v>56</v>
      </c>
      <c r="L12" s="29" t="s">
        <v>55</v>
      </c>
    </row>
    <row r="13" spans="1:12" x14ac:dyDescent="0.2">
      <c r="A13" t="s">
        <v>57</v>
      </c>
      <c r="B13" t="s">
        <v>58</v>
      </c>
      <c r="E13">
        <f>E2+E5+E11</f>
        <v>21</v>
      </c>
      <c r="F13" s="30">
        <f>G13^(1/2)</f>
        <v>2.4494897427831779</v>
      </c>
      <c r="G13">
        <f t="shared" ref="G13" si="3">G2+G5+G11</f>
        <v>6</v>
      </c>
      <c r="H13" s="31">
        <f>($H$12-E13)/F13</f>
        <v>-0.40824829046386307</v>
      </c>
      <c r="I13" s="13">
        <f>1-65%</f>
        <v>0.35</v>
      </c>
      <c r="J13" s="30">
        <f>($J$12-E13)/F13</f>
        <v>0.81649658092772615</v>
      </c>
      <c r="K13" s="13">
        <f t="shared" ref="K13:K17" si="4">1-L13</f>
        <v>0.20999999999999996</v>
      </c>
      <c r="L13" s="13">
        <v>0.79</v>
      </c>
    </row>
    <row r="14" spans="1:12" x14ac:dyDescent="0.2">
      <c r="A14" t="s">
        <v>59</v>
      </c>
      <c r="B14" t="s">
        <v>60</v>
      </c>
      <c r="E14">
        <f>E3+E6+E11</f>
        <v>19</v>
      </c>
      <c r="F14" s="32">
        <f>G14^(1/2)</f>
        <v>1.4142135623730951</v>
      </c>
      <c r="G14">
        <f t="shared" ref="G14" si="5">G3+G6+G11</f>
        <v>2</v>
      </c>
      <c r="H14" s="31">
        <f t="shared" ref="H14:H16" si="6">($H$12-E14)/F14</f>
        <v>0.70710678118654746</v>
      </c>
      <c r="I14" s="13">
        <f>76%</f>
        <v>0.76</v>
      </c>
      <c r="J14" s="30">
        <f t="shared" ref="J14:J16" si="7">($J$12-E14)/F14</f>
        <v>2.8284271247461898</v>
      </c>
      <c r="K14" s="13">
        <f t="shared" si="4"/>
        <v>1.0000000000000009E-2</v>
      </c>
      <c r="L14" s="13">
        <v>0.99</v>
      </c>
    </row>
    <row r="15" spans="1:12" x14ac:dyDescent="0.2">
      <c r="A15" s="33" t="s">
        <v>61</v>
      </c>
      <c r="B15" t="s">
        <v>62</v>
      </c>
      <c r="E15">
        <f>E3+E7</f>
        <v>18</v>
      </c>
      <c r="F15" s="32">
        <f>G15^(1/2)</f>
        <v>2</v>
      </c>
      <c r="G15">
        <f>G3+G7</f>
        <v>4</v>
      </c>
      <c r="H15" s="31">
        <f>($H$12-E15)/F15</f>
        <v>1</v>
      </c>
      <c r="I15" s="13">
        <v>0.84</v>
      </c>
      <c r="J15" s="30">
        <f t="shared" si="7"/>
        <v>2.5</v>
      </c>
      <c r="K15" s="13">
        <f t="shared" si="4"/>
        <v>1.0000000000000009E-2</v>
      </c>
      <c r="L15" s="13">
        <v>0.99</v>
      </c>
    </row>
    <row r="16" spans="1:12" s="34" customFormat="1" x14ac:dyDescent="0.2">
      <c r="A16" s="34" t="s">
        <v>63</v>
      </c>
      <c r="B16" s="34" t="s">
        <v>64</v>
      </c>
      <c r="E16" s="34">
        <f>E3+E8+E10</f>
        <v>22</v>
      </c>
      <c r="F16" s="35">
        <f>G16^(1/2)</f>
        <v>2.8284271247461903</v>
      </c>
      <c r="G16" s="42">
        <f>G3+G8+G10</f>
        <v>8</v>
      </c>
      <c r="H16" s="36">
        <f t="shared" si="6"/>
        <v>-0.70710678118654746</v>
      </c>
      <c r="I16" s="37">
        <v>0.25</v>
      </c>
      <c r="J16" s="35">
        <f t="shared" si="7"/>
        <v>0.35355339059327373</v>
      </c>
      <c r="K16" s="37">
        <f>1-L16</f>
        <v>0.36</v>
      </c>
      <c r="L16" s="37">
        <v>0.64</v>
      </c>
    </row>
    <row r="17" spans="1:12" x14ac:dyDescent="0.2">
      <c r="A17" s="38" t="s">
        <v>65</v>
      </c>
      <c r="B17" t="s">
        <v>66</v>
      </c>
      <c r="E17">
        <f>E4+E9+E10</f>
        <v>19</v>
      </c>
      <c r="F17" s="32">
        <f>G17^(1/2)</f>
        <v>3</v>
      </c>
      <c r="G17">
        <f>G4+G9+G10</f>
        <v>9</v>
      </c>
      <c r="H17" s="31">
        <f>($H$12-E17)/F17</f>
        <v>0.33333333333333331</v>
      </c>
      <c r="I17" s="13">
        <v>0.63</v>
      </c>
      <c r="J17" s="30">
        <f>($J$12-E17)/F17</f>
        <v>1.3333333333333333</v>
      </c>
      <c r="K17" s="13">
        <f t="shared" si="4"/>
        <v>8.9999999999999969E-2</v>
      </c>
      <c r="L17" s="13">
        <v>0.91</v>
      </c>
    </row>
    <row r="18" spans="1:12" x14ac:dyDescent="0.2">
      <c r="F18" s="32"/>
      <c r="H18" s="31"/>
      <c r="I18" s="13"/>
      <c r="J18" s="32"/>
      <c r="K18" s="13"/>
      <c r="L18" s="13"/>
    </row>
    <row r="19" spans="1:12" x14ac:dyDescent="0.2">
      <c r="H19" s="39" t="s">
        <v>67</v>
      </c>
      <c r="I19" s="40">
        <f>I13*I14*I15*I16*I17</f>
        <v>3.5191799999999988E-2</v>
      </c>
      <c r="K19" s="41">
        <f>1-(L13*L14*L16*L15*L17)</f>
        <v>0.54905991040000002</v>
      </c>
      <c r="L19" s="40"/>
    </row>
    <row r="20" spans="1:12" x14ac:dyDescent="0.2">
      <c r="A20" t="s">
        <v>68</v>
      </c>
    </row>
    <row r="21" spans="1:12" x14ac:dyDescent="0.2">
      <c r="A21" t="s">
        <v>69</v>
      </c>
      <c r="K21" s="13"/>
    </row>
    <row r="22" spans="1:12" x14ac:dyDescent="0.2">
      <c r="A22" t="s">
        <v>70</v>
      </c>
      <c r="B22" t="s">
        <v>71</v>
      </c>
      <c r="C22" t="s">
        <v>72</v>
      </c>
      <c r="D22" t="s">
        <v>73</v>
      </c>
    </row>
    <row r="23" spans="1:12" x14ac:dyDescent="0.2">
      <c r="A23" t="s">
        <v>74</v>
      </c>
      <c r="B23">
        <v>25</v>
      </c>
      <c r="C23" s="13">
        <f>I16</f>
        <v>0.25</v>
      </c>
      <c r="D23">
        <v>1</v>
      </c>
    </row>
    <row r="24" spans="1:12" x14ac:dyDescent="0.2">
      <c r="A24" t="s">
        <v>75</v>
      </c>
      <c r="B24">
        <v>0</v>
      </c>
      <c r="C24" s="13">
        <f>1-C23-C25</f>
        <v>0.39</v>
      </c>
      <c r="D24">
        <v>1</v>
      </c>
    </row>
    <row r="25" spans="1:12" x14ac:dyDescent="0.2">
      <c r="A25" t="s">
        <v>76</v>
      </c>
      <c r="B25">
        <v>-5</v>
      </c>
      <c r="C25" s="13">
        <f>K16</f>
        <v>0.36</v>
      </c>
      <c r="D25">
        <v>1</v>
      </c>
    </row>
    <row r="26" spans="1:12" x14ac:dyDescent="0.2">
      <c r="A26" t="s">
        <v>77</v>
      </c>
      <c r="B26" s="32">
        <f>B23*C23+B24*C24+B25*C25</f>
        <v>4.45</v>
      </c>
      <c r="C26" t="s">
        <v>78</v>
      </c>
      <c r="D26" t="s">
        <v>79</v>
      </c>
    </row>
    <row r="28" spans="1:12" x14ac:dyDescent="0.2">
      <c r="A28" t="s">
        <v>80</v>
      </c>
    </row>
    <row r="29" spans="1:12" x14ac:dyDescent="0.2">
      <c r="A29" t="s">
        <v>69</v>
      </c>
    </row>
    <row r="30" spans="1:12" x14ac:dyDescent="0.2">
      <c r="A30" t="s">
        <v>70</v>
      </c>
      <c r="B30" t="s">
        <v>71</v>
      </c>
      <c r="C30" t="s">
        <v>72</v>
      </c>
      <c r="D30" t="s">
        <v>73</v>
      </c>
    </row>
    <row r="31" spans="1:12" x14ac:dyDescent="0.2">
      <c r="A31" t="s">
        <v>74</v>
      </c>
      <c r="B31">
        <f>B23</f>
        <v>25</v>
      </c>
      <c r="C31" s="13">
        <f>I19</f>
        <v>3.5191799999999988E-2</v>
      </c>
      <c r="D31">
        <v>1.5</v>
      </c>
    </row>
    <row r="32" spans="1:12" x14ac:dyDescent="0.2">
      <c r="A32" t="s">
        <v>75</v>
      </c>
      <c r="B32">
        <f t="shared" ref="B32" si="8">B24</f>
        <v>0</v>
      </c>
      <c r="C32" s="13">
        <f>1-C31-C33</f>
        <v>0.41574828959999999</v>
      </c>
      <c r="D32">
        <v>1</v>
      </c>
    </row>
    <row r="33" spans="1:4" x14ac:dyDescent="0.2">
      <c r="A33" t="s">
        <v>76</v>
      </c>
      <c r="B33">
        <v>-5</v>
      </c>
      <c r="C33" s="13">
        <f>K19</f>
        <v>0.54905991040000002</v>
      </c>
      <c r="D33">
        <v>0.2</v>
      </c>
    </row>
    <row r="34" spans="1:4" x14ac:dyDescent="0.2">
      <c r="A34" t="s">
        <v>77</v>
      </c>
      <c r="B34" s="32">
        <f>B31*C31*D31+B32*C32*D32+B33*C33*D33</f>
        <v>0.77063258959999947</v>
      </c>
      <c r="D34" t="s">
        <v>172</v>
      </c>
    </row>
  </sheetData>
  <pageMargins left="0.75000000000000011" right="0.75000000000000011" top="1" bottom="1" header="0.5" footer="0.5"/>
  <pageSetup paperSize="9" scale="82" orientation="landscape" horizontalDpi="4294967292" verticalDpi="4294967292"/>
  <colBreaks count="1" manualBreakCount="1">
    <brk id="1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3582BF-B051-4C56-9B81-8AA697579381}"/>
</file>

<file path=customXml/itemProps2.xml><?xml version="1.0" encoding="utf-8"?>
<ds:datastoreItem xmlns:ds="http://schemas.openxmlformats.org/officeDocument/2006/customXml" ds:itemID="{84A97423-EF1A-443D-8A68-32DF05427606}"/>
</file>

<file path=customXml/itemProps3.xml><?xml version="1.0" encoding="utf-8"?>
<ds:datastoreItem xmlns:ds="http://schemas.openxmlformats.org/officeDocument/2006/customXml" ds:itemID="{D9407EFE-3C66-41CD-B43B-6700CC886F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2019-02-23T14:12:03Z</dcterms:created>
  <dcterms:modified xsi:type="dcterms:W3CDTF">2020-01-08T16:37:20Z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